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11"/>
  <workbookPr defaultThemeVersion="166925"/>
  <mc:AlternateContent xmlns:mc="http://schemas.openxmlformats.org/markup-compatibility/2006">
    <mc:Choice Requires="x15">
      <x15ac:absPath xmlns:x15ac="http://schemas.microsoft.com/office/spreadsheetml/2010/11/ac" url="https://uofutah-my.sharepoint.com/personal/u0847943_umail_utah_edu/Documents/Documents/SIF/Spring 2024/"/>
    </mc:Choice>
  </mc:AlternateContent>
  <xr:revisionPtr revIDLastSave="0" documentId="8_{90898FAD-6439-441C-8CD0-567EDC69BD24}" xr6:coauthVersionLast="47" xr6:coauthVersionMax="47" xr10:uidLastSave="{00000000-0000-0000-0000-000000000000}"/>
  <bookViews>
    <workbookView xWindow="-110" yWindow="-110" windowWidth="19420" windowHeight="10420" firstSheet="5" activeTab="4" xr2:uid="{C4094392-C59A-419D-B82B-79F777C81D7D}"/>
  </bookViews>
  <sheets>
    <sheet name="Valuation Guide" sheetId="14" r:id="rId1"/>
    <sheet name="Valuation Summary" sheetId="9" r:id="rId2"/>
    <sheet name="DCF Guide" sheetId="12" r:id="rId3"/>
    <sheet name="DCF Downside " sheetId="15" r:id="rId4"/>
    <sheet name="DCF Upside" sheetId="16" r:id="rId5"/>
    <sheet name="DCF Base" sheetId="4" r:id="rId6"/>
    <sheet name="Multiples_Guide" sheetId="5" r:id="rId7"/>
    <sheet name="Comps" sheetId="7" r:id="rId8"/>
    <sheet name="Precedents" sheetId="8" r:id="rId9"/>
    <sheet name="Summary - Football Field" sheetId="18" r:id="rId10"/>
  </sheets>
  <definedNames>
    <definedName name="_xlnm._FilterDatabase" localSheetId="7" hidden="1">Comps!#REF!</definedName>
    <definedName name="CIQWBGuid" hidden="1">"b98c30bb-69f3-4d09-b49c-0252579ac98d"</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"c2108"</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GROWTH_1YR" hidden="1">"c1636"</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s>
  <calcPr calcId="191028" iterate="1" iterateCount="5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8" l="1"/>
  <c r="H26" i="8"/>
  <c r="N22" i="9"/>
  <c r="F18" i="9"/>
  <c r="D18" i="9"/>
  <c r="O17" i="15"/>
  <c r="F61" i="15"/>
  <c r="F29" i="4"/>
  <c r="F28" i="4"/>
  <c r="D39" i="7"/>
  <c r="C39" i="7"/>
  <c r="C28" i="7"/>
  <c r="G39" i="7" s="1"/>
  <c r="I18" i="7"/>
  <c r="E40" i="18"/>
  <c r="C40" i="18"/>
  <c r="C27" i="7"/>
  <c r="K14" i="18"/>
  <c r="E38" i="18" s="1"/>
  <c r="K13" i="18"/>
  <c r="C38" i="18" s="1"/>
  <c r="K24" i="18"/>
  <c r="E39" i="18" s="1"/>
  <c r="K23" i="18"/>
  <c r="C39" i="18" s="1"/>
  <c r="I21" i="18"/>
  <c r="H21" i="18"/>
  <c r="I20" i="18"/>
  <c r="H20" i="18"/>
  <c r="I19" i="18"/>
  <c r="H19" i="18"/>
  <c r="I18" i="18"/>
  <c r="H18" i="18"/>
  <c r="J11" i="18"/>
  <c r="J10" i="18"/>
  <c r="J9" i="18"/>
  <c r="I9" i="18"/>
  <c r="J8" i="18"/>
  <c r="I8" i="18"/>
  <c r="J7" i="18"/>
  <c r="I7" i="18"/>
  <c r="J5" i="18"/>
  <c r="I5" i="18"/>
  <c r="C22" i="8"/>
  <c r="K13" i="8"/>
  <c r="J12" i="8"/>
  <c r="D22" i="8"/>
  <c r="K12" i="8"/>
  <c r="J13" i="8"/>
  <c r="J14" i="8"/>
  <c r="K14" i="8"/>
  <c r="J15" i="8"/>
  <c r="K15" i="8"/>
  <c r="F40" i="4"/>
  <c r="F30" i="4" s="1"/>
  <c r="F41" i="4"/>
  <c r="G44" i="16"/>
  <c r="H44" i="16" s="1"/>
  <c r="I44" i="16" s="1"/>
  <c r="J44" i="16" s="1"/>
  <c r="G43" i="16"/>
  <c r="H43" i="16" s="1"/>
  <c r="I43" i="16" s="1"/>
  <c r="J43" i="16" s="1"/>
  <c r="F42" i="16"/>
  <c r="G42" i="16" s="1"/>
  <c r="H42" i="16" s="1"/>
  <c r="I42" i="16" s="1"/>
  <c r="J42" i="16" s="1"/>
  <c r="F41" i="16"/>
  <c r="G41" i="16" s="1"/>
  <c r="H41" i="16" s="1"/>
  <c r="I41" i="16" s="1"/>
  <c r="J41" i="16" s="1"/>
  <c r="F40" i="16"/>
  <c r="G40" i="16" s="1"/>
  <c r="H40" i="16" s="1"/>
  <c r="I40" i="16" s="1"/>
  <c r="J40" i="16" s="1"/>
  <c r="F39" i="16"/>
  <c r="G39" i="16" s="1"/>
  <c r="H39" i="16" s="1"/>
  <c r="I39" i="16" s="1"/>
  <c r="J39" i="16" s="1"/>
  <c r="F42" i="4"/>
  <c r="G42" i="4"/>
  <c r="H42" i="4"/>
  <c r="I42" i="4"/>
  <c r="J42" i="4"/>
  <c r="G44" i="4"/>
  <c r="F37" i="4"/>
  <c r="D13" i="4"/>
  <c r="N29" i="4"/>
  <c r="M29" i="4"/>
  <c r="F12" i="4"/>
  <c r="D6" i="15"/>
  <c r="O10" i="15" s="1"/>
  <c r="D6" i="16"/>
  <c r="O11" i="16" s="1"/>
  <c r="E13" i="16"/>
  <c r="C16" i="16"/>
  <c r="D16" i="16"/>
  <c r="E16" i="16"/>
  <c r="C22" i="16"/>
  <c r="D22" i="16"/>
  <c r="E22" i="16"/>
  <c r="D80" i="16"/>
  <c r="G50" i="16"/>
  <c r="H50" i="16" s="1"/>
  <c r="I50" i="16" s="1"/>
  <c r="J50" i="16" s="1"/>
  <c r="J49" i="16"/>
  <c r="I49" i="16"/>
  <c r="H49" i="16"/>
  <c r="G49" i="16"/>
  <c r="E49" i="16"/>
  <c r="D49" i="16"/>
  <c r="C49" i="16"/>
  <c r="F37" i="16"/>
  <c r="E35" i="16"/>
  <c r="D35" i="16"/>
  <c r="C35" i="16"/>
  <c r="F34" i="16"/>
  <c r="F31" i="16"/>
  <c r="F30" i="16"/>
  <c r="F29" i="16"/>
  <c r="F28" i="16"/>
  <c r="G28" i="16" s="1"/>
  <c r="H28" i="16" s="1"/>
  <c r="I28" i="16" s="1"/>
  <c r="J28" i="16" s="1"/>
  <c r="G27" i="16"/>
  <c r="H27" i="16" s="1"/>
  <c r="I27" i="16" s="1"/>
  <c r="J27" i="16" s="1"/>
  <c r="E26" i="16"/>
  <c r="D26" i="16"/>
  <c r="C26" i="16"/>
  <c r="O24" i="16"/>
  <c r="O18" i="16"/>
  <c r="E18" i="16"/>
  <c r="E19" i="16" s="1"/>
  <c r="D18" i="16"/>
  <c r="D19" i="16" s="1"/>
  <c r="C18" i="16"/>
  <c r="C19" i="16" s="1"/>
  <c r="F12" i="16"/>
  <c r="F15" i="16" s="1"/>
  <c r="F52" i="16" s="1"/>
  <c r="G11" i="16"/>
  <c r="H11" i="16" s="1"/>
  <c r="I11" i="16" s="1"/>
  <c r="J11" i="16" s="1"/>
  <c r="O10" i="16"/>
  <c r="O12" i="16" s="1"/>
  <c r="J10" i="16"/>
  <c r="I10" i="16"/>
  <c r="H10" i="16"/>
  <c r="G10" i="16"/>
  <c r="E10" i="16"/>
  <c r="D10" i="16"/>
  <c r="C10" i="16"/>
  <c r="H10" i="8"/>
  <c r="I8" i="8"/>
  <c r="I9" i="8"/>
  <c r="I10" i="8"/>
  <c r="I7" i="8"/>
  <c r="H8" i="8"/>
  <c r="H9" i="8"/>
  <c r="H7" i="8"/>
  <c r="D6" i="4"/>
  <c r="O11" i="4" s="1"/>
  <c r="D80" i="15"/>
  <c r="C48" i="15"/>
  <c r="D48" i="15"/>
  <c r="E48" i="15"/>
  <c r="G48" i="15"/>
  <c r="G49" i="15"/>
  <c r="H48" i="15" s="1"/>
  <c r="H49" i="15"/>
  <c r="I48" i="15" s="1"/>
  <c r="I49" i="15"/>
  <c r="J48" i="15" s="1"/>
  <c r="J49" i="15"/>
  <c r="F36" i="15"/>
  <c r="G36" i="15"/>
  <c r="G61" i="15" s="1"/>
  <c r="H36" i="15"/>
  <c r="H61" i="15" s="1"/>
  <c r="I36" i="15"/>
  <c r="I61" i="15" s="1"/>
  <c r="J36" i="15"/>
  <c r="J61" i="15" s="1"/>
  <c r="F33" i="15"/>
  <c r="F59" i="15" s="1"/>
  <c r="G33" i="15"/>
  <c r="G59" i="15" s="1"/>
  <c r="H33" i="15"/>
  <c r="H59" i="15" s="1"/>
  <c r="I33" i="15"/>
  <c r="I59" i="15" s="1"/>
  <c r="J33" i="15"/>
  <c r="J59" i="15" s="1"/>
  <c r="C34" i="15"/>
  <c r="D34" i="15"/>
  <c r="E34" i="15"/>
  <c r="D78" i="15" s="1"/>
  <c r="C15" i="15"/>
  <c r="D15" i="15"/>
  <c r="E15" i="15"/>
  <c r="C17" i="15"/>
  <c r="D17" i="15"/>
  <c r="E17" i="15"/>
  <c r="C18" i="15"/>
  <c r="D18" i="15"/>
  <c r="E18" i="15"/>
  <c r="C21" i="15"/>
  <c r="D21" i="15"/>
  <c r="E21" i="15"/>
  <c r="O23" i="15"/>
  <c r="C25" i="15"/>
  <c r="D25" i="15"/>
  <c r="E25" i="15"/>
  <c r="G26" i="15"/>
  <c r="H26" i="15"/>
  <c r="I26" i="15"/>
  <c r="J26" i="15"/>
  <c r="F27" i="15"/>
  <c r="G27" i="15"/>
  <c r="H27" i="15"/>
  <c r="I27" i="15"/>
  <c r="J27" i="15"/>
  <c r="F28" i="15"/>
  <c r="F56" i="15" s="1"/>
  <c r="G28" i="15"/>
  <c r="G56" i="15" s="1"/>
  <c r="H28" i="15"/>
  <c r="H56" i="15" s="1"/>
  <c r="I28" i="15"/>
  <c r="I56" i="15" s="1"/>
  <c r="J28" i="15"/>
  <c r="J56" i="15" s="1"/>
  <c r="F29" i="15"/>
  <c r="F57" i="15" s="1"/>
  <c r="G29" i="15"/>
  <c r="G57" i="15" s="1"/>
  <c r="H29" i="15"/>
  <c r="H57" i="15" s="1"/>
  <c r="I29" i="15"/>
  <c r="I57" i="15" s="1"/>
  <c r="J29" i="15"/>
  <c r="J57" i="15" s="1"/>
  <c r="F30" i="15"/>
  <c r="F58" i="15" s="1"/>
  <c r="G30" i="15"/>
  <c r="G58" i="15" s="1"/>
  <c r="H30" i="15"/>
  <c r="H58" i="15" s="1"/>
  <c r="I30" i="15"/>
  <c r="I58" i="15" s="1"/>
  <c r="J30" i="15"/>
  <c r="J58" i="15" s="1"/>
  <c r="C9" i="15"/>
  <c r="G9" i="15"/>
  <c r="O9" i="15"/>
  <c r="G10" i="15"/>
  <c r="H9" i="15" s="1"/>
  <c r="H10" i="15"/>
  <c r="I9" i="15" s="1"/>
  <c r="I10" i="15"/>
  <c r="J9" i="15" s="1"/>
  <c r="J10" i="15"/>
  <c r="F11" i="15"/>
  <c r="G11" i="15"/>
  <c r="H11" i="15"/>
  <c r="I11" i="15"/>
  <c r="J11" i="15"/>
  <c r="O11" i="15"/>
  <c r="E12" i="15"/>
  <c r="O12" i="15"/>
  <c r="C35" i="4"/>
  <c r="C26" i="4"/>
  <c r="C22" i="4"/>
  <c r="C18" i="4"/>
  <c r="C19" i="4"/>
  <c r="C16" i="4"/>
  <c r="C10" i="4"/>
  <c r="D35" i="4"/>
  <c r="D26" i="4"/>
  <c r="D22" i="4"/>
  <c r="D18" i="4"/>
  <c r="D19" i="4"/>
  <c r="D16" i="4"/>
  <c r="E35" i="4"/>
  <c r="E26" i="4"/>
  <c r="E22" i="4"/>
  <c r="E18" i="4"/>
  <c r="E19" i="4"/>
  <c r="E16" i="4"/>
  <c r="E13" i="4"/>
  <c r="F61" i="4"/>
  <c r="F34" i="4"/>
  <c r="F60" i="4" s="1"/>
  <c r="F31" i="4"/>
  <c r="F59" i="4" s="1"/>
  <c r="F58" i="4"/>
  <c r="F57" i="4"/>
  <c r="C30" i="7"/>
  <c r="C29" i="7"/>
  <c r="E39" i="7" s="1"/>
  <c r="E49" i="4"/>
  <c r="G34" i="4"/>
  <c r="G37" i="4"/>
  <c r="C32" i="8"/>
  <c r="G6" i="9"/>
  <c r="C33" i="8"/>
  <c r="C32" i="7"/>
  <c r="C49" i="4"/>
  <c r="D49" i="4"/>
  <c r="G49" i="4"/>
  <c r="G50" i="4"/>
  <c r="H49" i="4" s="1"/>
  <c r="H50" i="4"/>
  <c r="I50" i="4" s="1"/>
  <c r="D78" i="4" l="1"/>
  <c r="O10" i="4"/>
  <c r="O12" i="4" s="1"/>
  <c r="O13" i="4" s="1"/>
  <c r="D39" i="18"/>
  <c r="D38" i="18"/>
  <c r="D40" i="18"/>
  <c r="H34" i="4"/>
  <c r="I34" i="4" s="1"/>
  <c r="J34" i="4" s="1"/>
  <c r="G60" i="4"/>
  <c r="H37" i="4"/>
  <c r="I37" i="4" s="1"/>
  <c r="J37" i="4"/>
  <c r="I61" i="4"/>
  <c r="O13" i="16"/>
  <c r="O26" i="16" s="1"/>
  <c r="F51" i="16"/>
  <c r="F21" i="16"/>
  <c r="F56" i="16" s="1"/>
  <c r="F18" i="16"/>
  <c r="F53" i="16" s="1"/>
  <c r="F55" i="16" s="1"/>
  <c r="G12" i="16"/>
  <c r="F57" i="16"/>
  <c r="G29" i="16"/>
  <c r="F58" i="16"/>
  <c r="G30" i="16"/>
  <c r="F59" i="16"/>
  <c r="G31" i="16"/>
  <c r="F60" i="16"/>
  <c r="G34" i="16"/>
  <c r="D78" i="16"/>
  <c r="F35" i="16"/>
  <c r="G35" i="16" s="1"/>
  <c r="H35" i="16" s="1"/>
  <c r="I35" i="16" s="1"/>
  <c r="J35" i="16" s="1"/>
  <c r="F61" i="16"/>
  <c r="G37" i="16"/>
  <c r="G10" i="9"/>
  <c r="C37" i="8"/>
  <c r="O25" i="15"/>
  <c r="J50" i="15"/>
  <c r="J14" i="15"/>
  <c r="J51" i="15" s="1"/>
  <c r="J17" i="15"/>
  <c r="J52" i="15" s="1"/>
  <c r="J54" i="15" s="1"/>
  <c r="J20" i="15"/>
  <c r="J55" i="15" s="1"/>
  <c r="I50" i="15"/>
  <c r="I14" i="15"/>
  <c r="I51" i="15" s="1"/>
  <c r="I17" i="15"/>
  <c r="I52" i="15" s="1"/>
  <c r="I54" i="15" s="1"/>
  <c r="I20" i="15"/>
  <c r="I55" i="15" s="1"/>
  <c r="H50" i="15"/>
  <c r="H14" i="15"/>
  <c r="H51" i="15" s="1"/>
  <c r="H17" i="15"/>
  <c r="H52" i="15" s="1"/>
  <c r="H54" i="15" s="1"/>
  <c r="H20" i="15"/>
  <c r="H55" i="15" s="1"/>
  <c r="G50" i="15"/>
  <c r="G14" i="15"/>
  <c r="G51" i="15" s="1"/>
  <c r="G17" i="15"/>
  <c r="G52" i="15" s="1"/>
  <c r="G54" i="15" s="1"/>
  <c r="G20" i="15"/>
  <c r="G55" i="15" s="1"/>
  <c r="F50" i="15"/>
  <c r="F14" i="15"/>
  <c r="F51" i="15" s="1"/>
  <c r="F17" i="15"/>
  <c r="F52" i="15" s="1"/>
  <c r="F54" i="15" s="1"/>
  <c r="F20" i="15"/>
  <c r="F55" i="15" s="1"/>
  <c r="D9" i="15"/>
  <c r="E9" i="15"/>
  <c r="G8" i="9"/>
  <c r="C35" i="8"/>
  <c r="G7" i="9"/>
  <c r="C34" i="8"/>
  <c r="E22" i="8" s="1"/>
  <c r="J50" i="4"/>
  <c r="J49" i="4"/>
  <c r="I49" i="4"/>
  <c r="F62" i="16" l="1"/>
  <c r="G61" i="16"/>
  <c r="H37" i="16"/>
  <c r="G60" i="16"/>
  <c r="H34" i="16"/>
  <c r="G59" i="16"/>
  <c r="H31" i="16"/>
  <c r="G58" i="16"/>
  <c r="H30" i="16"/>
  <c r="G57" i="16"/>
  <c r="H29" i="16"/>
  <c r="G51" i="16"/>
  <c r="G21" i="16"/>
  <c r="G56" i="16" s="1"/>
  <c r="G18" i="16"/>
  <c r="G53" i="16" s="1"/>
  <c r="G15" i="16"/>
  <c r="G52" i="16" s="1"/>
  <c r="H12" i="16"/>
  <c r="C70" i="16"/>
  <c r="J63" i="16"/>
  <c r="I63" i="16"/>
  <c r="H63" i="16"/>
  <c r="G63" i="16"/>
  <c r="F63" i="16"/>
  <c r="F35" i="4"/>
  <c r="G35" i="4" s="1"/>
  <c r="H35" i="4" s="1"/>
  <c r="I35" i="4" s="1"/>
  <c r="J35" i="4" s="1"/>
  <c r="F34" i="15"/>
  <c r="G34" i="15" s="1"/>
  <c r="H34" i="15" s="1"/>
  <c r="I34" i="15" s="1"/>
  <c r="J34" i="15" s="1"/>
  <c r="F62" i="15"/>
  <c r="G62" i="15"/>
  <c r="H62" i="15"/>
  <c r="I62" i="15"/>
  <c r="J62" i="15"/>
  <c r="C70" i="15"/>
  <c r="F63" i="15"/>
  <c r="F64" i="15" s="1"/>
  <c r="G63" i="15"/>
  <c r="H63" i="15"/>
  <c r="I63" i="15"/>
  <c r="J63" i="15"/>
  <c r="L33" i="9"/>
  <c r="E18" i="9"/>
  <c r="G55" i="16" l="1"/>
  <c r="G62" i="16" s="1"/>
  <c r="F64" i="16"/>
  <c r="H51" i="16"/>
  <c r="H21" i="16"/>
  <c r="H56" i="16" s="1"/>
  <c r="H18" i="16"/>
  <c r="H53" i="16" s="1"/>
  <c r="H55" i="16" s="1"/>
  <c r="H15" i="16"/>
  <c r="H52" i="16" s="1"/>
  <c r="I12" i="16"/>
  <c r="G64" i="16"/>
  <c r="H57" i="16"/>
  <c r="I29" i="16"/>
  <c r="H58" i="16"/>
  <c r="I30" i="16"/>
  <c r="H59" i="16"/>
  <c r="I31" i="16"/>
  <c r="H60" i="16"/>
  <c r="I34" i="16"/>
  <c r="H61" i="16"/>
  <c r="I37" i="16"/>
  <c r="C71" i="15"/>
  <c r="C72" i="15" s="1"/>
  <c r="C73" i="15" s="1"/>
  <c r="J64" i="15"/>
  <c r="I64" i="15"/>
  <c r="H64" i="15"/>
  <c r="G64" i="15"/>
  <c r="C65" i="15"/>
  <c r="O14" i="9"/>
  <c r="O13" i="9"/>
  <c r="M14" i="9"/>
  <c r="M13" i="9"/>
  <c r="O7" i="9"/>
  <c r="O8" i="9"/>
  <c r="G23" i="8"/>
  <c r="G24" i="8"/>
  <c r="G26" i="8"/>
  <c r="G27" i="8"/>
  <c r="G28" i="8"/>
  <c r="G22" i="8"/>
  <c r="E23" i="8"/>
  <c r="E24" i="8"/>
  <c r="E26" i="8"/>
  <c r="E27" i="8"/>
  <c r="E28" i="8"/>
  <c r="O9" i="9"/>
  <c r="K9" i="9"/>
  <c r="K6" i="9"/>
  <c r="L6" i="9"/>
  <c r="M6" i="9"/>
  <c r="N6" i="9"/>
  <c r="O6" i="9"/>
  <c r="P6" i="9"/>
  <c r="J6" i="9"/>
  <c r="C27" i="8"/>
  <c r="D27" i="8" s="1"/>
  <c r="C23" i="8"/>
  <c r="C26" i="8"/>
  <c r="D26" i="8" s="1"/>
  <c r="K19" i="7"/>
  <c r="G40" i="7"/>
  <c r="G41" i="7"/>
  <c r="G43" i="7"/>
  <c r="G44" i="7"/>
  <c r="G45" i="7"/>
  <c r="G47" i="7"/>
  <c r="G48" i="7"/>
  <c r="G49" i="7"/>
  <c r="E40" i="7"/>
  <c r="F40" i="7" s="1"/>
  <c r="E41" i="7"/>
  <c r="E43" i="7"/>
  <c r="E44" i="7"/>
  <c r="E45" i="7"/>
  <c r="E47" i="7"/>
  <c r="E48" i="7"/>
  <c r="E49" i="7"/>
  <c r="M7" i="9"/>
  <c r="C33" i="7"/>
  <c r="C31" i="7"/>
  <c r="I61" i="16" l="1"/>
  <c r="J37" i="16"/>
  <c r="J61" i="16" s="1"/>
  <c r="I60" i="16"/>
  <c r="J34" i="16"/>
  <c r="J60" i="16" s="1"/>
  <c r="I59" i="16"/>
  <c r="J31" i="16"/>
  <c r="J59" i="16" s="1"/>
  <c r="I58" i="16"/>
  <c r="J30" i="16"/>
  <c r="J58" i="16" s="1"/>
  <c r="I57" i="16"/>
  <c r="J29" i="16"/>
  <c r="J57" i="16" s="1"/>
  <c r="I51" i="16"/>
  <c r="I21" i="16"/>
  <c r="I56" i="16" s="1"/>
  <c r="I18" i="16"/>
  <c r="I53" i="16" s="1"/>
  <c r="I55" i="16" s="1"/>
  <c r="I62" i="16" s="1"/>
  <c r="I64" i="16" s="1"/>
  <c r="I15" i="16"/>
  <c r="I52" i="16" s="1"/>
  <c r="J12" i="16"/>
  <c r="H62" i="16"/>
  <c r="H64" i="16" s="1"/>
  <c r="G11" i="9"/>
  <c r="C38" i="8"/>
  <c r="G9" i="9"/>
  <c r="C36" i="8"/>
  <c r="D23" i="8"/>
  <c r="D77" i="15"/>
  <c r="M8" i="9"/>
  <c r="M9" i="9"/>
  <c r="F22" i="8"/>
  <c r="F23" i="8"/>
  <c r="H23" i="8" s="1"/>
  <c r="F27" i="8"/>
  <c r="H27" i="8" s="1"/>
  <c r="F26" i="8"/>
  <c r="H22" i="8"/>
  <c r="D16" i="9" s="1"/>
  <c r="D79" i="15" l="1"/>
  <c r="D81" i="15" s="1"/>
  <c r="J51" i="16"/>
  <c r="J21" i="16"/>
  <c r="J56" i="16" s="1"/>
  <c r="J18" i="16"/>
  <c r="J53" i="16" s="1"/>
  <c r="J55" i="16" s="1"/>
  <c r="J62" i="16" s="1"/>
  <c r="J15" i="16"/>
  <c r="J52" i="16" s="1"/>
  <c r="F33" i="8"/>
  <c r="F16" i="9" s="1"/>
  <c r="E16" i="9"/>
  <c r="K22" i="7"/>
  <c r="K21" i="7"/>
  <c r="C48" i="7" s="1"/>
  <c r="D48" i="7" s="1"/>
  <c r="F48" i="7" s="1"/>
  <c r="H48" i="7" s="1"/>
  <c r="K20" i="7"/>
  <c r="C47" i="7" s="1"/>
  <c r="D47" i="7" s="1"/>
  <c r="F47" i="7" s="1"/>
  <c r="H47" i="7" s="1"/>
  <c r="K18" i="7"/>
  <c r="C49" i="7" s="1"/>
  <c r="D49" i="7" s="1"/>
  <c r="J10" i="7"/>
  <c r="J11" i="7"/>
  <c r="J12" i="7"/>
  <c r="J13" i="7"/>
  <c r="J14" i="7"/>
  <c r="J8" i="7"/>
  <c r="I12" i="7"/>
  <c r="I11" i="7"/>
  <c r="I10" i="7"/>
  <c r="I8" i="7"/>
  <c r="K16" i="8"/>
  <c r="J16" i="8"/>
  <c r="C28" i="8"/>
  <c r="D28" i="8" s="1"/>
  <c r="C24" i="8"/>
  <c r="M18" i="9" l="1"/>
  <c r="D17" i="9"/>
  <c r="K33" i="18"/>
  <c r="C41" i="18" s="1"/>
  <c r="C71" i="16"/>
  <c r="C72" i="16" s="1"/>
  <c r="C73" i="16" s="1"/>
  <c r="J64" i="16"/>
  <c r="C65" i="16" s="1"/>
  <c r="D24" i="8"/>
  <c r="J21" i="7"/>
  <c r="C44" i="7" s="1"/>
  <c r="D44" i="7" s="1"/>
  <c r="F44" i="7" s="1"/>
  <c r="H44" i="7" s="1"/>
  <c r="I20" i="7"/>
  <c r="F39" i="7" s="1"/>
  <c r="H39" i="7" s="1"/>
  <c r="F49" i="7"/>
  <c r="L9" i="9"/>
  <c r="F28" i="8"/>
  <c r="H28" i="8" s="1"/>
  <c r="L13" i="9"/>
  <c r="N13" i="9" s="1"/>
  <c r="P13" i="9" s="1"/>
  <c r="H49" i="7"/>
  <c r="P9" i="9" s="1"/>
  <c r="N9" i="9"/>
  <c r="J22" i="7"/>
  <c r="J20" i="7"/>
  <c r="C43" i="7" s="1"/>
  <c r="D43" i="7" s="1"/>
  <c r="F43" i="7" s="1"/>
  <c r="H43" i="7" s="1"/>
  <c r="I21" i="7"/>
  <c r="C40" i="7" s="1"/>
  <c r="D40" i="7" s="1"/>
  <c r="H40" i="7" s="1"/>
  <c r="C53" i="7" s="1"/>
  <c r="F15" i="9" s="1"/>
  <c r="I19" i="7"/>
  <c r="C41" i="7"/>
  <c r="J19" i="7"/>
  <c r="I22" i="7"/>
  <c r="J18" i="7"/>
  <c r="C45" i="7" s="1"/>
  <c r="K13" i="9" l="1"/>
  <c r="D77" i="16"/>
  <c r="L14" i="9"/>
  <c r="N14" i="9" s="1"/>
  <c r="P14" i="9" s="1"/>
  <c r="F24" i="8"/>
  <c r="D45" i="7"/>
  <c r="K7" i="9"/>
  <c r="F45" i="7"/>
  <c r="L7" i="9"/>
  <c r="C52" i="7"/>
  <c r="D15" i="9" s="1"/>
  <c r="E15" i="9"/>
  <c r="H45" i="7"/>
  <c r="P7" i="9" s="1"/>
  <c r="N7" i="9"/>
  <c r="D41" i="7"/>
  <c r="K8" i="9"/>
  <c r="D80" i="4"/>
  <c r="O24" i="4"/>
  <c r="O18" i="4"/>
  <c r="G27" i="4"/>
  <c r="H27" i="4" s="1"/>
  <c r="G10" i="4"/>
  <c r="G11" i="4"/>
  <c r="H11" i="4" s="1"/>
  <c r="I10" i="4" s="1"/>
  <c r="G29" i="4"/>
  <c r="G28" i="4"/>
  <c r="H28" i="4" s="1"/>
  <c r="I28" i="4" s="1"/>
  <c r="J28" i="4" s="1"/>
  <c r="G30" i="4"/>
  <c r="H30" i="4" s="1"/>
  <c r="I30" i="4" s="1"/>
  <c r="J30" i="4" s="1"/>
  <c r="J58" i="4" s="1"/>
  <c r="G31" i="4"/>
  <c r="J60" i="4"/>
  <c r="J61" i="4"/>
  <c r="O26" i="4" l="1"/>
  <c r="C70" i="4" s="1"/>
  <c r="H24" i="8"/>
  <c r="H29" i="4"/>
  <c r="I29" i="4" s="1"/>
  <c r="J29" i="4" s="1"/>
  <c r="J57" i="4" s="1"/>
  <c r="G57" i="4"/>
  <c r="D79" i="16"/>
  <c r="D81" i="16" s="1"/>
  <c r="F17" i="9" s="1"/>
  <c r="D10" i="4"/>
  <c r="E10" i="4"/>
  <c r="H31" i="4"/>
  <c r="G59" i="4"/>
  <c r="F51" i="4"/>
  <c r="F15" i="4"/>
  <c r="F52" i="4" s="1"/>
  <c r="F41" i="7"/>
  <c r="L8" i="9"/>
  <c r="H10" i="4"/>
  <c r="I27" i="4"/>
  <c r="I11" i="4"/>
  <c r="J10" i="4" s="1"/>
  <c r="I60" i="4"/>
  <c r="I57" i="4"/>
  <c r="H60" i="4"/>
  <c r="H57" i="4"/>
  <c r="I58" i="4"/>
  <c r="H58" i="4"/>
  <c r="H61" i="4"/>
  <c r="G58" i="4"/>
  <c r="G61" i="4"/>
  <c r="F21" i="4"/>
  <c r="F56" i="4" s="1"/>
  <c r="F18" i="4"/>
  <c r="G12" i="4"/>
  <c r="G51" i="4" s="1"/>
  <c r="N18" i="9" l="1"/>
  <c r="K34" i="18"/>
  <c r="E41" i="18" s="1"/>
  <c r="D41" i="18" s="1"/>
  <c r="F34" i="8"/>
  <c r="L24" i="9" s="1"/>
  <c r="K14" i="9"/>
  <c r="F53" i="4"/>
  <c r="F55" i="4" s="1"/>
  <c r="F62" i="4" s="1"/>
  <c r="I31" i="4"/>
  <c r="H59" i="4"/>
  <c r="H41" i="7"/>
  <c r="N8" i="9"/>
  <c r="I63" i="4"/>
  <c r="J63" i="4"/>
  <c r="F63" i="4"/>
  <c r="F64" i="4" s="1"/>
  <c r="G63" i="4"/>
  <c r="H63" i="4"/>
  <c r="J27" i="4"/>
  <c r="J11" i="4"/>
  <c r="G21" i="4"/>
  <c r="G56" i="4" s="1"/>
  <c r="H12" i="4"/>
  <c r="H51" i="4" s="1"/>
  <c r="G18" i="4"/>
  <c r="G15" i="4"/>
  <c r="G52" i="4" s="1"/>
  <c r="G53" i="4" l="1"/>
  <c r="G55" i="4" s="1"/>
  <c r="G62" i="4" s="1"/>
  <c r="G64" i="4" s="1"/>
  <c r="J31" i="4"/>
  <c r="J59" i="4" s="1"/>
  <c r="I59" i="4"/>
  <c r="P8" i="9"/>
  <c r="C54" i="7"/>
  <c r="L23" i="9" s="1"/>
  <c r="H18" i="4"/>
  <c r="I12" i="4"/>
  <c r="I51" i="4" s="1"/>
  <c r="H15" i="4"/>
  <c r="H52" i="4" s="1"/>
  <c r="H21" i="4"/>
  <c r="H56" i="4" s="1"/>
  <c r="H53" i="4" l="1"/>
  <c r="H55" i="4" s="1"/>
  <c r="E17" i="9"/>
  <c r="H62" i="4"/>
  <c r="H64" i="4" s="1"/>
  <c r="J12" i="4"/>
  <c r="J51" i="4" s="1"/>
  <c r="I21" i="4"/>
  <c r="I56" i="4" s="1"/>
  <c r="I18" i="4"/>
  <c r="I15" i="4"/>
  <c r="I52" i="4" s="1"/>
  <c r="I53" i="4" l="1"/>
  <c r="I55" i="4" s="1"/>
  <c r="I62" i="4"/>
  <c r="I64" i="4" s="1"/>
  <c r="J18" i="4"/>
  <c r="J21" i="4"/>
  <c r="J56" i="4" s="1"/>
  <c r="J15" i="4"/>
  <c r="J52" i="4" s="1"/>
  <c r="J53" i="4" l="1"/>
  <c r="J55" i="4" s="1"/>
  <c r="J62" i="4" s="1"/>
  <c r="C71" i="4" s="1"/>
  <c r="J64" i="4" l="1"/>
  <c r="C65" i="4" s="1"/>
  <c r="C72" i="4"/>
  <c r="C73" i="4" s="1"/>
  <c r="D77" i="4" s="1"/>
  <c r="D79" i="4" s="1"/>
  <c r="D81" i="4" s="1"/>
  <c r="L18" i="9" l="1"/>
  <c r="L22" i="9" s="1"/>
  <c r="L3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tc={7F918D9C-56D9-4F1E-BA3A-F97A0DE863CB}</author>
    <author>tc={04388053-C112-4482-B252-B1AC14BFF690}</author>
  </authors>
  <commentList>
    <comment ref="B33" authorId="0" shapeId="0" xr:uid="{7F918D9C-56D9-4F1E-BA3A-F97A0DE863CB}">
      <text>
        <t>[Threaded comment]
Your version of Excel allows you to read this threaded comment; however, any edits to it will get removed if the file is opened in a newer version of Excel. Learn more: https://go.microsoft.com/fwlink/?linkid=870924
Comment:
    Combined AP and AE</t>
      </text>
    </comment>
    <comment ref="B34" authorId="1" shapeId="0" xr:uid="{04388053-C112-4482-B252-B1AC14BFF690}">
      <text>
        <t>[Threaded comment]
Your version of Excel allows you to read this threaded comment; however, any edits to it will get removed if the file is opened in a newer version of Excel. Learn more: https://go.microsoft.com/fwlink/?linkid=870924
Comment:
    comibed Long Term Lease LiabilitiesDeferred Income TaxesOther Liabilities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tc={A627FB83-4533-4AE6-9A18-587105197C43}</author>
    <author>tc={1CDB325C-2B29-437B-86B1-224F6891A377}</author>
  </authors>
  <commentList>
    <comment ref="B34" authorId="0" shapeId="0" xr:uid="{A627FB83-4533-4AE6-9A18-587105197C43}">
      <text>
        <t>[Threaded comment]
Your version of Excel allows you to read this threaded comment; however, any edits to it will get removed if the file is opened in a newer version of Excel. Learn more: https://go.microsoft.com/fwlink/?linkid=870924
Comment:
    Combined AP and AE</t>
      </text>
    </comment>
    <comment ref="B35" authorId="1" shapeId="0" xr:uid="{1CDB325C-2B29-437B-86B1-224F6891A377}">
      <text>
        <t>[Threaded comment]
Your version of Excel allows you to read this threaded comment; however, any edits to it will get removed if the file is opened in a newer version of Excel. Learn more: https://go.microsoft.com/fwlink/?linkid=870924
Comment:
    comibed Long Term Lease LiabilitiesDeferred Income TaxesOther Liabilities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tc={14D6A7D2-9AB1-4F2A-B98B-3870CEB5713D}</author>
    <author>tc={E04C843C-BF0A-4CE2-99E1-038080402DCB}</author>
  </authors>
  <commentList>
    <comment ref="B34" authorId="0" shapeId="0" xr:uid="{14D6A7D2-9AB1-4F2A-B98B-3870CEB5713D}">
      <text>
        <t>[Threaded comment]
Your version of Excel allows you to read this threaded comment; however, any edits to it will get removed if the file is opened in a newer version of Excel. Learn more: https://go.microsoft.com/fwlink/?linkid=870924
Comment:
    Combined AP and AE</t>
      </text>
    </comment>
    <comment ref="B35" authorId="1" shapeId="0" xr:uid="{E04C843C-BF0A-4CE2-99E1-038080402DCB}">
      <text>
        <t>[Threaded comment]
Your version of Excel allows you to read this threaded comment; however, any edits to it will get removed if the file is opened in a newer version of Excel. Learn more: https://go.microsoft.com/fwlink/?linkid=870924
Comment:
    comibed Long Term Lease LiabilitiesDeferred Income TaxesOther Liabilities</t>
      </text>
    </comment>
  </commentList>
</comments>
</file>

<file path=xl/sharedStrings.xml><?xml version="1.0" encoding="utf-8"?>
<sst xmlns="http://schemas.openxmlformats.org/spreadsheetml/2006/main" count="592" uniqueCount="268">
  <si>
    <t>Valuation Guide</t>
  </si>
  <si>
    <t>Disclaimer:</t>
  </si>
  <si>
    <t xml:space="preserve">This template does not use accurate financial data from the same company, make sure your's do. For company specific data - use the company's financial reports (such as 10-K). </t>
  </si>
  <si>
    <t xml:space="preserve">In your valuation, use all three valuation methods. When you weigh your implied share prices in cell L27-29 on the Valuation Summary page, you can choose to weigh them differently depending on what valuation methods you view as the most accurate based on your data and the spread of the upside/ downside and 25/75 percentile data. </t>
  </si>
  <si>
    <t>How to make a football field chart:</t>
  </si>
  <si>
    <t>https://www.youtube.com/watch?v=jHYOLmgZJsI</t>
  </si>
  <si>
    <t xml:space="preserve">The 2 red lines in the football field has to be added manually and should represent current and target price. </t>
  </si>
  <si>
    <t xml:space="preserve">Current Date: Make sure to use the date of the valuation, and not the day of presentation. </t>
  </si>
  <si>
    <t xml:space="preserve">Upload this excel document to the discussion board; delete all slides named "Guide" before uploading. </t>
  </si>
  <si>
    <t>Valuation Summary</t>
  </si>
  <si>
    <t xml:space="preserve">Key Assumptions - AAPL </t>
  </si>
  <si>
    <t>Comps</t>
  </si>
  <si>
    <t xml:space="preserve">Company Name </t>
  </si>
  <si>
    <t>Macy's</t>
  </si>
  <si>
    <t>Shares Outstanding (M)</t>
  </si>
  <si>
    <t>Ticker</t>
  </si>
  <si>
    <t>M</t>
  </si>
  <si>
    <t>Debt (M)</t>
  </si>
  <si>
    <t>Mean EV/EBITDA</t>
  </si>
  <si>
    <t>Current Share Price</t>
  </si>
  <si>
    <t>Cash (M)</t>
  </si>
  <si>
    <t>Mean EV/Sales</t>
  </si>
  <si>
    <t>Current Date</t>
  </si>
  <si>
    <t>Revenue (M)</t>
  </si>
  <si>
    <t>Mean P/E</t>
  </si>
  <si>
    <t>Group Name</t>
  </si>
  <si>
    <t>Big Macs</t>
  </si>
  <si>
    <t>EBITDA (M)</t>
  </si>
  <si>
    <t>Individual Names</t>
  </si>
  <si>
    <t xml:space="preserve">Emily Hansen Jacob Winters
</t>
  </si>
  <si>
    <t>Earnings</t>
  </si>
  <si>
    <t>Precedents</t>
  </si>
  <si>
    <t>Metrics</t>
  </si>
  <si>
    <t>Implied EV</t>
  </si>
  <si>
    <t>Net Debt</t>
  </si>
  <si>
    <t>Equity Value</t>
  </si>
  <si>
    <t>Shares</t>
  </si>
  <si>
    <t>Share Price</t>
  </si>
  <si>
    <t>Football Field Data</t>
  </si>
  <si>
    <t>Low bar</t>
  </si>
  <si>
    <t>Difference</t>
  </si>
  <si>
    <t>High Bar</t>
  </si>
  <si>
    <t xml:space="preserve">DCF </t>
  </si>
  <si>
    <t>Implied Share Price</t>
  </si>
  <si>
    <t>DCF</t>
  </si>
  <si>
    <t>Approach</t>
  </si>
  <si>
    <t>Base</t>
  </si>
  <si>
    <t>Downside</t>
  </si>
  <si>
    <t>Upside</t>
  </si>
  <si>
    <t>52 wk high/low</t>
  </si>
  <si>
    <t>Perpetuity</t>
  </si>
  <si>
    <t>Implied Stock Price</t>
  </si>
  <si>
    <t>Total DCF</t>
  </si>
  <si>
    <t>Comparables</t>
  </si>
  <si>
    <t>Precedent Transactions</t>
  </si>
  <si>
    <t>Weights</t>
  </si>
  <si>
    <t xml:space="preserve">Comparables </t>
  </si>
  <si>
    <t>Target Price</t>
  </si>
  <si>
    <t>Current price</t>
  </si>
  <si>
    <t>DCF Guide</t>
  </si>
  <si>
    <t xml:space="preserve">This template does not use accurate financial data from the same company, make sure your's do. </t>
  </si>
  <si>
    <t>This DCF Model is not a full "3 statement model". That makes it easier to use, but as it is less complicated, it may be less accurate. If you want to make a "3 statement DCF model", we have previous SIF valuation models you can use as inspiration.</t>
  </si>
  <si>
    <t>Under the Operating Data section, the model asks you to plot in Revenue, EBITDA, EBIT and D&amp;A for the 3 previous years. The most important to fill in is the Revenue and EBIT (Operating Income) numbers, as these are the ones the model refers to and uses in calculations later.</t>
  </si>
  <si>
    <t>For the calculation of terminal value, this model uses the perpetuity method, you can also use the "Exit Multiple for EBITDA" method for this.</t>
  </si>
  <si>
    <t xml:space="preserve">Only the blue-colored cells in the model needs to be changed, all others are formulas and will be updated automatically. </t>
  </si>
  <si>
    <t>Sources to use for this DCF Model:</t>
  </si>
  <si>
    <t>https://www.wallstreetprep.com/knowledge/financial-modeling-quick-lesson-building-a-discounted-cash-flow-dcf-model-part-1/</t>
  </si>
  <si>
    <t>Step 1: Fill in company data</t>
  </si>
  <si>
    <t>Fill in information about your model in Cell D3-5 in all three sheets; base, downside and upside.</t>
  </si>
  <si>
    <t>Step 2: Fill in historical data</t>
  </si>
  <si>
    <t>Fill in all information under the Operating Data and Balance Sheet Data sections for the past 3 years. All information will be found in the company's 10-K. Make sure to use this and not any other source, as they are often inaccurate. This data will be the same on all three sheets; base, downside and upside.</t>
  </si>
  <si>
    <t>Step 3: Make growth assumptions/ estimates</t>
  </si>
  <si>
    <t xml:space="preserve">Make assumptions about the next 5 years' growth under both sections. This is what you should spend the most time on in your valuation of your company. Use the company's 10-K, and historical growth data (but also other sources if needed) to estimate their future growth. Essential for you estimates is to look into growth and risk, industry and market trends, competatice landscape and innovation. </t>
  </si>
  <si>
    <t xml:space="preserve">This is supposed to be your "most likely" growth scenario. What future growth the company expect is often mentioned in their 10-K's. Again - for operating data, estimating their EBIT growth (and therefore also revenue growth) is the most important, as this is what the model uses later in its calculations. Previous year-over-year growth will also be relevant. </t>
  </si>
  <si>
    <t xml:space="preserve">The downside growth numbers in your estimate is supposed to be the lowest or most conservative estimates of future growth rates for the company being analyzed (but still somewhat likely). </t>
  </si>
  <si>
    <t>The upside growth numbers represent the more optimistic or favorable estimates of future growth rates for the company being analyzed. These growth rates are used to forecast the company's future cash flows under more favorable scenarios.</t>
  </si>
  <si>
    <t>Examples:</t>
  </si>
  <si>
    <t>Downside:</t>
  </si>
  <si>
    <t>Tech companies: Market Saturation: Slowing demand for the company's core products due to market saturation or changing consumer preferences.
Increased Competition: Intensified competition from rivals and new entrants, leading to pricing pressure and erosion of market share.
Regulatory Challenges: Heightened regulatory scrutiny or legal challenges impacting the company's operations and growth prospects.
Technology Disruption: Rapid technological advancements render the company's products obsolete or less competitive.</t>
  </si>
  <si>
    <t>Retail Companies: Weak Consumer Spending: Economic downturn or recession leads to reduced consumer spending on discretionary items, impacting the company's sales and profitability.
Supply Chain Disruptions: Disruptions in the supply chain due to factors such as natural disasters, trade disputes, or geopolitical tensions, leading to inventory shortages and higher costs.
Intense Competition: Increased competition from online retailers and discount stores erodes the company's market share and puts pressure on margins.
Shift in Consumer Preferences: Changing consumer preferences towards sustainable or ethically sourced products, impacting sales of traditional offerings.
Store Closures: Declining foot traffic and sales performance lead to the closure of underperforming stores, resulting in impairment charges and restructuring costs.</t>
  </si>
  <si>
    <t>Upside:</t>
  </si>
  <si>
    <t>Technology Company: New Product Launch: The company successfully launches a highly anticipated new product that captures significant market share and drives strong revenue growth.
Expansion into Emerging Markets: The company expands into fast-growing emerging markets, capitalizing on increasing demand for technology products and services.
Strategic Partnerships: The company forms strategic partnerships with leading tech firms, enhancing its product offerings and market reach.
Technological Innovation: Breakthroughs in research and development lead to the development of cutting-edge technologies, creating new revenue streams and strengthening the company's competitive position.
Acquisition of Disruptive Startups: The company acquires innovative startups with disruptive technologies, further solidifying its position as a market leader.</t>
  </si>
  <si>
    <t>Retail Company: Successful Omnichannel Strategy: The company implements a successful omnichannel strategy, seamlessly integrating online and offline sales channels to enhance customer experience and drive sales growth.
International Expansion: Expansion into international markets with strong growth potential, tapping into new customer segments and diversifying revenue streams.
Private Label Success: The company's private label brands gain traction, offering higher margins and attracting price-conscious consumers.
E-commerce Growth: Accelerated growth in e-commerce sales as more consumers shift towards online shopping, leveraging the company's digital capabilities.
Customer Loyalty Programs: Launch of innovative customer loyalty programs that foster repeat purchases and increase customer lifetime value.</t>
  </si>
  <si>
    <t>Step 4: Calculate your WACC</t>
  </si>
  <si>
    <t>As long as you have entered all blue colored numbers in the model so far, this step is very quick. For risk free rate, use the 5-year Treasury. The cost of debt calculation will be total interest/ total debt.</t>
  </si>
  <si>
    <t>Step 5: Calculate terminal value</t>
  </si>
  <si>
    <t xml:space="preserve">Determine your company's long term growth. This will be an estimate done in a similar way as the base case assumptions for year-to-year growth. </t>
  </si>
  <si>
    <t>DCF Base Case</t>
  </si>
  <si>
    <t>Valuation Date:</t>
  </si>
  <si>
    <t>Share Price on Valuation Date:</t>
  </si>
  <si>
    <t>Diluted Shares Outstanding</t>
  </si>
  <si>
    <t>Market Cap</t>
  </si>
  <si>
    <t>Select Operating Data</t>
  </si>
  <si>
    <t>WACC Calculations</t>
  </si>
  <si>
    <t>Projected Annual Forecast</t>
  </si>
  <si>
    <t>Capital Structure</t>
  </si>
  <si>
    <t>Total Debt</t>
  </si>
  <si>
    <t>Period</t>
  </si>
  <si>
    <t>Total Equity</t>
  </si>
  <si>
    <t>Revenue</t>
  </si>
  <si>
    <t>Debt-to-Total Capitalization</t>
  </si>
  <si>
    <t>Growth Rate (%)</t>
  </si>
  <si>
    <t>Equity-to-Total Capitalization</t>
  </si>
  <si>
    <t>EBITDA</t>
  </si>
  <si>
    <t>Cost of Debt</t>
  </si>
  <si>
    <t>EBITDA Margin (%)</t>
  </si>
  <si>
    <t>Tax Rate</t>
  </si>
  <si>
    <t>EBIT</t>
  </si>
  <si>
    <t>After-Tax Cost of Debt</t>
  </si>
  <si>
    <t>EBIT Margin (%)</t>
  </si>
  <si>
    <t>Cost of Equity</t>
  </si>
  <si>
    <t xml:space="preserve">Depreciation &amp; Amortization </t>
  </si>
  <si>
    <t>Risk-free Rate</t>
  </si>
  <si>
    <t>D&amp;A as a % of revenue</t>
  </si>
  <si>
    <t>Market Risk Premium</t>
  </si>
  <si>
    <t>Levered Beta</t>
  </si>
  <si>
    <t>Select Balance Sheet And Other Data</t>
  </si>
  <si>
    <t>WACC</t>
  </si>
  <si>
    <t>Cash</t>
  </si>
  <si>
    <t>Accounts Receivable</t>
  </si>
  <si>
    <t>Inventories</t>
  </si>
  <si>
    <t>Prepaid Expenses</t>
  </si>
  <si>
    <t>Accounts Payable</t>
  </si>
  <si>
    <t>Long Term Debt</t>
  </si>
  <si>
    <t>Capital Expenditures</t>
  </si>
  <si>
    <t>Accounts Receivable Growth (%)</t>
  </si>
  <si>
    <t>Inventories Growth (%)</t>
  </si>
  <si>
    <t>Prepaid Expenses Growth (%)</t>
  </si>
  <si>
    <t>Accounts Payable Growth (%)</t>
  </si>
  <si>
    <t>Capital Expenditures Growth (%)</t>
  </si>
  <si>
    <t>Long term debt growth rate (%)</t>
  </si>
  <si>
    <t>$mm</t>
  </si>
  <si>
    <t>Total Revenues</t>
  </si>
  <si>
    <t>Tax rate</t>
  </si>
  <si>
    <t>EBIAT</t>
  </si>
  <si>
    <t>Depreciation &amp; Amortization</t>
  </si>
  <si>
    <t>Accounts receivable</t>
  </si>
  <si>
    <t>Prepaid expenses</t>
  </si>
  <si>
    <t>Accounts payable</t>
  </si>
  <si>
    <t>Capital expenditures</t>
  </si>
  <si>
    <t>Unlevered free cash flows</t>
  </si>
  <si>
    <r>
      <t xml:space="preserve">Discount Rate </t>
    </r>
    <r>
      <rPr>
        <i/>
        <sz val="11"/>
        <rFont val="Calibri"/>
        <family val="2"/>
      </rPr>
      <t>(WACC)</t>
    </r>
  </si>
  <si>
    <t>Present value of free cash flows</t>
  </si>
  <si>
    <t>Sum of present values of FCFs</t>
  </si>
  <si>
    <t>Terminal Value</t>
  </si>
  <si>
    <t>Growth in perpetuity method:</t>
  </si>
  <si>
    <t>Long term growth rate</t>
  </si>
  <si>
    <t>Free cash flow (t+1)</t>
  </si>
  <si>
    <t>Present Value of Terminal Value</t>
  </si>
  <si>
    <t>Enterprise Value to Equity Value</t>
  </si>
  <si>
    <t>Enterprise Value</t>
  </si>
  <si>
    <t>Less: Net debt</t>
  </si>
  <si>
    <t>Equity Value Per Share</t>
  </si>
  <si>
    <t>Long term growth rate (%)</t>
  </si>
  <si>
    <t>Federal Income Statutory Rate</t>
  </si>
  <si>
    <t>Multiples &amp; Precedent Transactions Guide</t>
  </si>
  <si>
    <t>Disclaimer</t>
  </si>
  <si>
    <t xml:space="preserve">Sources to use: </t>
  </si>
  <si>
    <t>https://www.wallstreetprep.com/knowledge/financial-modeling-quick-lesson-trading-comps/</t>
  </si>
  <si>
    <t>https://www.mckinsey.com/capabilities/strategy-and-corporate-finance/our-insights/the-right-role-for-multiples-in-valuation</t>
  </si>
  <si>
    <t>https://corporatefinanceinstitute.com/resources/valuation/types-of-valuation-multiples/</t>
  </si>
  <si>
    <t>Comps - Public Traded Companies</t>
  </si>
  <si>
    <t>Step 1 - Select Peer Group</t>
  </si>
  <si>
    <t xml:space="preserve">When selecting a peer group for your comparable company analysis, it's essential to choose companies that are similar to the target company in terms of industry, size, business model, and market dynamics. A good place to start could be to run a filter in Bloomberg EQS function to filter a list of similar companies in size, industry etc. From there you can do more research on the companies to find the most similar ones. Aim for 5-10 companies. </t>
  </si>
  <si>
    <t>Step 2 - Select multiples</t>
  </si>
  <si>
    <t xml:space="preserve">Once you have selected an appropriate peer group, the next step is to choose the multiples that you will use to compare the target company with its peers. When choosing multiples, consider the industry characteristics, financial structure, and growth prospects of the target company and its peers. Select multiples that are relevant, widely used, and provide meaningful insights into the company's valuation relative to its peers. This is a very important step of your relative valuation - make sure that the multiples you select are relevant for your specific industry and business model. Remember that when you add new or different multiples you will need to add and change some of the formulas both under the valuation section and the SUMMARY section. Look at the current formulas to see how to do that. As well as backward-looking multiples (LTM), you can use forward looking multiples (NTM) as this has shown to be even more accurate (McKinsey). </t>
  </si>
  <si>
    <t>Most common multiples</t>
  </si>
  <si>
    <t>Comments</t>
  </si>
  <si>
    <t>P/E</t>
  </si>
  <si>
    <t>The most commonly used equity multiple; input data is easily accessible; computed as the proportion of Share Price to Earnings Per Share (EPS)</t>
  </si>
  <si>
    <t>EV/Sales</t>
  </si>
  <si>
    <t>Useful for high-growth companies with limited profitability or those in industries where revenue growth is a key driver of value.</t>
  </si>
  <si>
    <t>EV/EBIDTA</t>
  </si>
  <si>
    <t>Providing a measure of operational efficiency and financial performance that is less affected by capital structure and accounting differences.</t>
  </si>
  <si>
    <t>EV/EBIT</t>
  </si>
  <si>
    <t>Offering insights into the company's operating profitability and financial health independent of capital structure and non-operating factors.</t>
  </si>
  <si>
    <t>MARKET CAP/EBT</t>
  </si>
  <si>
    <t>Helps understand the company's profitability before considering the impact of tax expenses, which can vary significantly across companies and jurisdictions.</t>
  </si>
  <si>
    <t>Industry Specific Multiples</t>
  </si>
  <si>
    <t>Shipping</t>
  </si>
  <si>
    <t xml:space="preserve">EV/GAV </t>
  </si>
  <si>
    <t>PRICE/NAV</t>
  </si>
  <si>
    <t>Oil &amp; Gas</t>
  </si>
  <si>
    <t>EV/EBIDTA-CAPEX</t>
  </si>
  <si>
    <t>EV/BOE</t>
  </si>
  <si>
    <t>EV/RESERVES</t>
  </si>
  <si>
    <t>Salmon</t>
  </si>
  <si>
    <t>EV/KG</t>
  </si>
  <si>
    <t>Tech/IT</t>
  </si>
  <si>
    <t>EV/Unique Visitor</t>
  </si>
  <si>
    <t>EV/Subscriber</t>
  </si>
  <si>
    <t>Hotel/ Transport</t>
  </si>
  <si>
    <t>EV/EBIDTAR</t>
  </si>
  <si>
    <t>Capital Intensive Industries</t>
  </si>
  <si>
    <t>EV/Invested Capital</t>
  </si>
  <si>
    <t xml:space="preserve">Step 3 - Plot in your company's and your peer group's financial and market data. </t>
  </si>
  <si>
    <t>Use each company's 10-K report for this, as many other sources are inaccurate and not up-to-date. All other cells calculating the multiples are formulas and do not need to be changes. Note that if you choose different sets of multiples, you need to add those formulas.</t>
  </si>
  <si>
    <t>Start by researching recent M&amp;A transactions within the same industry or sector as the target company. Look for deals involving companies with similar business models, products, and market positioning. Make sure the companies you choose have recent publicly available data. Good sources to find peer group: Securities Data Corporation, which is a repository of mergers and acquisitions data. Trade publications, research reports, and annual filings are also good sources of data. Gather information on the transaction details, including the deal size, transaction multiples, and strategic rationale behind the deal. Pay attention to factors such as the target company's revenue, EBITDA, and other financial metrics. Consider the timing of the transactions and their relevance to the current market environment. Filter the transactions based on relevant criteria such as company size, geographic presence, growth prospects, and operational similarities. Focus on transactions involving companies that closely resemble the target company in terms of size and strategic focus.</t>
  </si>
  <si>
    <t>When selecting multiples for precedent transactions, you're analyzing past M&amp;A deals rather than publicly traded companies. While many of the same multiples used in public company comparables analysis can also be used for precedent transactions, there are some differences to consider. In addition to traditional valuation multiples such as EV/EBITDA or EV/Sales, precedent transactions analysis may include transaction-specific multiples like Transaction Value/Revenue or Transaction Value/EBITDA. These multiples focus on the actual transaction values and provide insights into how buyers value companies in the M&amp;A market.  Consider the deal structure and financing terms of the precedent transactions, as they can impact the valuation multiples. For example, transactions involving cash-only deals may have different valuation multiples compared to deals involving stock or debt as part of the consideration. Assess any potential synergies or strategic benefits driving the M&amp;A transactions. Multiples derived from precedent transactions may reflect the value of synergies realized by the acquirer, which should be considered in the analysis.</t>
  </si>
  <si>
    <t>Comparable Companies</t>
  </si>
  <si>
    <t>Market and Financial Data</t>
  </si>
  <si>
    <t>Valuation</t>
  </si>
  <si>
    <t>Peer Group Relevance</t>
  </si>
  <si>
    <t>Company Name</t>
  </si>
  <si>
    <t>Price</t>
  </si>
  <si>
    <t>Market Cap (B)</t>
  </si>
  <si>
    <t>Enterprise Value (M)</t>
  </si>
  <si>
    <t>LTM Sales (M)</t>
  </si>
  <si>
    <t>LTM EBITDA (M)</t>
  </si>
  <si>
    <t>Earnings (M)</t>
  </si>
  <si>
    <t>EV / Sales</t>
  </si>
  <si>
    <t>EV / EBITDA</t>
  </si>
  <si>
    <t>Industry</t>
  </si>
  <si>
    <t>Sector</t>
  </si>
  <si>
    <t>Largest Geographical Segment</t>
  </si>
  <si>
    <t>Largest  Revenue Segment</t>
  </si>
  <si>
    <t>Target</t>
  </si>
  <si>
    <t xml:space="preserve">Macy's </t>
  </si>
  <si>
    <t>Retail</t>
  </si>
  <si>
    <t>Consumer Discretionary</t>
  </si>
  <si>
    <t>North America</t>
  </si>
  <si>
    <t>Women’s Accessories, Shoes, Cosmetics, and Fragrances</t>
  </si>
  <si>
    <t>Comparable companies</t>
  </si>
  <si>
    <t>Nordstrom</t>
  </si>
  <si>
    <t xml:space="preserve"> Apparel, shoes, beauty accessories, and home goods</t>
  </si>
  <si>
    <t>Kohl's</t>
  </si>
  <si>
    <t>Women's clothing</t>
  </si>
  <si>
    <t>Ross</t>
  </si>
  <si>
    <t xml:space="preserve">Women's apparel and homeware. </t>
  </si>
  <si>
    <t>Dillard’s</t>
  </si>
  <si>
    <t>Ladies' apparel and men's apparel and accessories</t>
  </si>
  <si>
    <t>Apparel, electronics, home goods</t>
  </si>
  <si>
    <t>Mean</t>
  </si>
  <si>
    <t>Median</t>
  </si>
  <si>
    <t>25 Percentile</t>
  </si>
  <si>
    <t>75 Percentile</t>
  </si>
  <si>
    <t>Standard deviation</t>
  </si>
  <si>
    <t>Key Assumptions - Macy's</t>
  </si>
  <si>
    <t>Current Price</t>
  </si>
  <si>
    <t>SUMMARY</t>
  </si>
  <si>
    <t>EV/EBITDA</t>
  </si>
  <si>
    <t>Precendent Transactions</t>
  </si>
  <si>
    <t>Millions</t>
  </si>
  <si>
    <t>Date</t>
  </si>
  <si>
    <t>Buyer</t>
  </si>
  <si>
    <t>Target Business Descrption</t>
  </si>
  <si>
    <t xml:space="preserve">Transaction Value </t>
  </si>
  <si>
    <t>EV / Revenue</t>
  </si>
  <si>
    <t>Children's Place</t>
  </si>
  <si>
    <t>Mithaq Real Estate Investment PLC</t>
  </si>
  <si>
    <t>The largest pure-play children's specialty apparel retailer.</t>
  </si>
  <si>
    <t>Rogan Shoes</t>
  </si>
  <si>
    <t>Shoe Carnival Inc</t>
  </si>
  <si>
    <t>Carries dress, casual, athletic and work footwear for the entire family.</t>
  </si>
  <si>
    <t>Zela Technologies</t>
  </si>
  <si>
    <t>Zodiac Clothing Company</t>
  </si>
  <si>
    <t>Software solutions in fashion</t>
  </si>
  <si>
    <t>Ameridge Corp</t>
  </si>
  <si>
    <t>TNB Tech Co Ltd</t>
  </si>
  <si>
    <t>Fashion business including management of famous women's clothing brands</t>
  </si>
  <si>
    <t>Macy's falls into the 25th percentile</t>
  </si>
  <si>
    <t>Lo</t>
  </si>
  <si>
    <t>Hi</t>
  </si>
  <si>
    <t>52-Week high/low</t>
  </si>
  <si>
    <t>Valuation Metrics</t>
  </si>
  <si>
    <t>Diff</t>
  </si>
  <si>
    <t xml:space="preserve">Why did we choose all of these? </t>
  </si>
  <si>
    <t>Describing this now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</si>
</sst>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0.0%"/>
    <numFmt numFmtId="166" formatCode="0.0"/>
    <numFmt numFmtId="167" formatCode="&quot;$&quot;#,##0.0_);\(&quot;$&quot;#,##0.0\);@_)"/>
    <numFmt numFmtId="168" formatCode="#,##0.0_);\(#,##0.0\);@_)"/>
    <numFmt numFmtId="169" formatCode="#,##0.0_);\(#,##0.0\)"/>
    <numFmt numFmtId="170" formatCode="0.0%_);\(0.0%\);@_)"/>
    <numFmt numFmtId="171" formatCode="&quot;$&quot;#,##0.00_);\(&quot;$&quot;#,##0.00\);@_)"/>
    <numFmt numFmtId="172" formatCode="#,##0.0_);\(#,##0.0\);\-_);@_)"/>
    <numFmt numFmtId="173" formatCode="&quot;$&quot;#,##0.0_);\(&quot;$&quot;#,##0.0\)"/>
    <numFmt numFmtId="174" formatCode="0.0\x"/>
    <numFmt numFmtId="175" formatCode="0.000"/>
    <numFmt numFmtId="176" formatCode="_(* #,##0_);_(* \(#,##0\);_(* &quot;-&quot;??_);_(@_)"/>
    <numFmt numFmtId="177" formatCode="_(* #,##0.00_);_(* \(#,##0.00\);_(* &quot;-&quot;_);_(@_)"/>
    <numFmt numFmtId="178" formatCode="#,##0.00\x"/>
    <numFmt numFmtId="179" formatCode="_(* #,##0.0_);_(* \(#,##0.0\);_(* &quot;-&quot;??_);_(@_)"/>
    <numFmt numFmtId="180" formatCode="_(&quot;$&quot;* #,##0.000_);_(&quot;$&quot;* \(#,##0.000\);_(&quot;$&quot;* &quot;-&quot;??_);_(@_)"/>
    <numFmt numFmtId="181" formatCode="_(&quot;$&quot;* #,##0.00_);_(&quot;$&quot;* \(#,##0.00\);_(&quot;$&quot;* &quot;-&quot;_);_(@_)"/>
    <numFmt numFmtId="182" formatCode="_(&quot;$&quot;* #,##0.000_);_(&quot;$&quot;* \(#,##0.000\);_(&quot;$&quot;* &quot;-&quot;_);_(@_)"/>
    <numFmt numFmtId="183" formatCode="_(* #,##0.000_);_(* \(#,##0.000\);_(* &quot;-&quot;??_);_(@_)"/>
  </numFmts>
  <fonts count="38">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1"/>
      <name val="Arial"/>
      <family val="2"/>
    </font>
    <font>
      <sz val="11"/>
      <name val="Calibri"/>
      <family val="2"/>
      <scheme val="minor"/>
    </font>
    <font>
      <b/>
      <sz val="11"/>
      <name val="Calibri"/>
      <family val="2"/>
      <scheme val="minor"/>
    </font>
    <font>
      <sz val="11"/>
      <color rgb="FF008000"/>
      <name val="Calibri"/>
      <family val="2"/>
      <scheme val="minor"/>
    </font>
    <font>
      <b/>
      <sz val="14"/>
      <color indexed="9"/>
      <name val="Calibri"/>
      <family val="2"/>
      <scheme val="minor"/>
    </font>
    <font>
      <sz val="11"/>
      <color indexed="12"/>
      <name val="Calibri"/>
      <family val="2"/>
      <scheme val="minor"/>
    </font>
    <font>
      <sz val="11"/>
      <color rgb="FF000000"/>
      <name val="Calibri"/>
      <family val="2"/>
      <scheme val="minor"/>
    </font>
    <font>
      <b/>
      <i/>
      <sz val="11"/>
      <name val="Calibri"/>
      <family val="2"/>
      <scheme val="minor"/>
    </font>
    <font>
      <i/>
      <sz val="11"/>
      <name val="Calibri"/>
      <family val="2"/>
      <scheme val="minor"/>
    </font>
    <font>
      <i/>
      <sz val="11"/>
      <name val="Calibri"/>
      <family val="2"/>
    </font>
    <font>
      <b/>
      <sz val="11"/>
      <color indexed="12"/>
      <name val="Calibri"/>
      <family val="2"/>
      <scheme val="minor"/>
    </font>
    <font>
      <i/>
      <sz val="11"/>
      <color rgb="FF008000"/>
      <name val="Calibri"/>
      <family val="2"/>
      <scheme val="minor"/>
    </font>
    <font>
      <i/>
      <sz val="11"/>
      <color indexed="8"/>
      <name val="Calibri"/>
      <family val="2"/>
      <scheme val="minor"/>
    </font>
    <font>
      <i/>
      <sz val="11"/>
      <color rgb="FF0000FF"/>
      <name val="Calibri"/>
      <family val="2"/>
      <scheme val="minor"/>
    </font>
    <font>
      <sz val="11"/>
      <color indexed="8"/>
      <name val="Calibri"/>
      <family val="2"/>
      <scheme val="minor"/>
    </font>
    <font>
      <sz val="11"/>
      <color rgb="FF0000FF"/>
      <name val="Calibri"/>
      <family val="2"/>
      <scheme val="minor"/>
    </font>
    <font>
      <sz val="18"/>
      <name val="Calibri"/>
      <family val="2"/>
      <scheme val="minor"/>
    </font>
    <font>
      <b/>
      <sz val="15"/>
      <color theme="1"/>
      <name val="Calibri"/>
      <family val="2"/>
      <scheme val="minor"/>
    </font>
    <font>
      <b/>
      <sz val="20"/>
      <color theme="0"/>
      <name val="Calibri"/>
      <family val="2"/>
      <scheme val="minor"/>
    </font>
    <font>
      <b/>
      <sz val="22"/>
      <color theme="0"/>
      <name val="Calibri"/>
      <family val="2"/>
      <scheme val="minor"/>
    </font>
    <font>
      <b/>
      <sz val="12"/>
      <color theme="0"/>
      <name val="Calibri"/>
      <family val="2"/>
      <scheme val="minor"/>
    </font>
    <font>
      <sz val="11"/>
      <color rgb="FF212B54"/>
      <name val="Calibri"/>
      <family val="2"/>
      <scheme val="minor"/>
    </font>
    <font>
      <b/>
      <sz val="12"/>
      <color theme="1"/>
      <name val="Calibri"/>
      <family val="2"/>
      <scheme val="minor"/>
    </font>
    <font>
      <sz val="11"/>
      <color theme="4"/>
      <name val="Calibri"/>
      <family val="2"/>
      <scheme val="minor"/>
    </font>
    <font>
      <sz val="11"/>
      <color rgb="FF0070C0"/>
      <name val="Calibri"/>
      <family val="2"/>
      <scheme val="minor"/>
    </font>
    <font>
      <u/>
      <sz val="11"/>
      <color theme="1"/>
      <name val="Calibri"/>
      <family val="2"/>
      <scheme val="minor"/>
    </font>
    <font>
      <b/>
      <sz val="18"/>
      <color theme="0"/>
      <name val="Calibri"/>
      <family val="2"/>
      <scheme val="minor"/>
    </font>
    <font>
      <sz val="10"/>
      <name val="Arial"/>
    </font>
    <font>
      <sz val="11"/>
      <name val="Arial"/>
    </font>
    <font>
      <i/>
      <sz val="11"/>
      <color theme="1"/>
      <name val="Calibri"/>
      <family val="2"/>
      <scheme val="minor"/>
    </font>
    <font>
      <sz val="11"/>
      <color rgb="FF000000"/>
      <name val="Calibri"/>
      <scheme val="minor"/>
    </font>
    <font>
      <b/>
      <sz val="11"/>
      <color rgb="FF000000"/>
      <name val="Calibri"/>
      <family val="2"/>
      <scheme val="minor"/>
    </font>
  </fonts>
  <fills count="11">
    <fill>
      <patternFill patternType="none"/>
    </fill>
    <fill>
      <patternFill patternType="gray125"/>
    </fill>
    <fill>
      <patternFill patternType="solid">
        <fgColor rgb="FFAC1F2F"/>
        <bgColor indexed="64"/>
      </patternFill>
    </fill>
    <fill>
      <patternFill patternType="solid">
        <fgColor rgb="FFD5EDFF"/>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theme="0"/>
        <bgColor indexed="64"/>
      </patternFill>
    </fill>
    <fill>
      <patternFill patternType="solid">
        <fgColor theme="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
      <left style="thin">
        <color rgb="FF000000"/>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medium">
        <color indexed="64"/>
      </bottom>
      <diagonal/>
    </border>
    <border>
      <left/>
      <right/>
      <top/>
      <bottom style="thin">
        <color indexed="64"/>
      </bottom>
      <diagonal/>
    </border>
    <border>
      <left/>
      <right style="thin">
        <color rgb="FF000000"/>
      </right>
      <top style="medium">
        <color indexed="64"/>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medium">
        <color indexed="64"/>
      </top>
      <bottom style="thin">
        <color rgb="FF000000"/>
      </bottom>
      <diagonal/>
    </border>
    <border>
      <left/>
      <right/>
      <top style="thin">
        <color indexed="64"/>
      </top>
      <bottom style="thin">
        <color indexed="64"/>
      </bottom>
      <diagonal/>
    </border>
    <border>
      <left style="thin">
        <color indexed="64"/>
      </left>
      <right/>
      <top style="medium">
        <color indexed="64"/>
      </top>
      <bottom style="thin">
        <color rgb="FF000000"/>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thin">
        <color rgb="FF000000"/>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top/>
      <bottom style="medium">
        <color rgb="FF000000"/>
      </bottom>
      <diagonal/>
    </border>
    <border>
      <left/>
      <right style="thin">
        <color indexed="64"/>
      </right>
      <top/>
      <bottom style="thin">
        <color rgb="FF000000"/>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cellStyleXfs>
  <cellXfs count="349">
    <xf numFmtId="0" fontId="0" fillId="0" borderId="0" xfId="0"/>
    <xf numFmtId="0" fontId="0" fillId="0" borderId="0" xfId="0" applyAlignment="1">
      <alignment horizontal="center"/>
    </xf>
    <xf numFmtId="9" fontId="0" fillId="0" borderId="0" xfId="3" applyFont="1"/>
    <xf numFmtId="0" fontId="3" fillId="0" borderId="4" xfId="0" applyFont="1" applyBorder="1"/>
    <xf numFmtId="0" fontId="0" fillId="0" borderId="5" xfId="0" applyBorder="1"/>
    <xf numFmtId="0" fontId="0" fillId="0" borderId="4" xfId="0" applyBorder="1"/>
    <xf numFmtId="165" fontId="0" fillId="0" borderId="5" xfId="3" applyNumberFormat="1" applyFont="1" applyBorder="1"/>
    <xf numFmtId="0" fontId="0" fillId="0" borderId="6" xfId="0" applyBorder="1"/>
    <xf numFmtId="165" fontId="0" fillId="0" borderId="7" xfId="3" applyNumberFormat="1" applyFont="1" applyBorder="1"/>
    <xf numFmtId="0" fontId="3" fillId="0" borderId="2" xfId="0" applyFont="1" applyBorder="1"/>
    <xf numFmtId="0" fontId="0" fillId="0" borderId="3" xfId="0" applyBorder="1"/>
    <xf numFmtId="165" fontId="0" fillId="0" borderId="1" xfId="3" applyNumberFormat="1" applyFont="1" applyBorder="1"/>
    <xf numFmtId="165" fontId="2" fillId="2" borderId="1" xfId="3" applyNumberFormat="1" applyFont="1" applyFill="1" applyBorder="1"/>
    <xf numFmtId="0" fontId="2" fillId="2" borderId="8" xfId="0" applyFont="1" applyFill="1" applyBorder="1"/>
    <xf numFmtId="164" fontId="0" fillId="0" borderId="5" xfId="2" applyNumberFormat="1" applyFont="1" applyBorder="1"/>
    <xf numFmtId="164" fontId="0" fillId="0" borderId="7" xfId="2" applyNumberFormat="1" applyFont="1" applyBorder="1"/>
    <xf numFmtId="14" fontId="0" fillId="0" borderId="0" xfId="0" applyNumberFormat="1"/>
    <xf numFmtId="0" fontId="5" fillId="0" borderId="0" xfId="4"/>
    <xf numFmtId="0" fontId="6" fillId="0" borderId="0" xfId="4" applyFont="1"/>
    <xf numFmtId="0" fontId="7" fillId="0" borderId="0" xfId="4" applyFont="1"/>
    <xf numFmtId="0" fontId="8" fillId="0" borderId="0" xfId="4" applyFont="1"/>
    <xf numFmtId="8" fontId="8" fillId="0" borderId="0" xfId="4" applyNumberFormat="1" applyFont="1" applyAlignment="1">
      <alignment horizontal="right" indent="1"/>
    </xf>
    <xf numFmtId="0" fontId="8" fillId="0" borderId="0" xfId="4" applyFont="1" applyAlignment="1">
      <alignment horizontal="left" indent="1"/>
    </xf>
    <xf numFmtId="0" fontId="7" fillId="0" borderId="10" xfId="4" applyFont="1" applyBorder="1"/>
    <xf numFmtId="166" fontId="7" fillId="0" borderId="0" xfId="4" applyNumberFormat="1" applyFont="1" applyAlignment="1">
      <alignment horizontal="right" indent="1"/>
    </xf>
    <xf numFmtId="0" fontId="7" fillId="0" borderId="11" xfId="4" applyFont="1" applyBorder="1" applyAlignment="1">
      <alignment horizontal="left" indent="1"/>
    </xf>
    <xf numFmtId="8" fontId="8" fillId="0" borderId="12" xfId="4" applyNumberFormat="1" applyFont="1" applyBorder="1" applyAlignment="1">
      <alignment horizontal="right" indent="1"/>
    </xf>
    <xf numFmtId="0" fontId="7" fillId="0" borderId="13" xfId="4" applyFont="1" applyBorder="1"/>
    <xf numFmtId="0" fontId="7" fillId="0" borderId="14" xfId="4" applyFont="1" applyBorder="1"/>
    <xf numFmtId="167" fontId="8" fillId="0" borderId="0" xfId="4" applyNumberFormat="1" applyFont="1" applyAlignment="1">
      <alignment horizontal="right" indent="1"/>
    </xf>
    <xf numFmtId="168" fontId="7" fillId="0" borderId="0" xfId="4" applyNumberFormat="1" applyFont="1" applyAlignment="1">
      <alignment horizontal="right" indent="1"/>
    </xf>
    <xf numFmtId="169" fontId="9" fillId="0" borderId="0" xfId="4" applyNumberFormat="1" applyFont="1" applyAlignment="1">
      <alignment horizontal="right" indent="1"/>
    </xf>
    <xf numFmtId="0" fontId="7" fillId="0" borderId="0" xfId="4" applyFont="1" applyAlignment="1">
      <alignment horizontal="left" indent="1"/>
    </xf>
    <xf numFmtId="167" fontId="8" fillId="0" borderId="10" xfId="4" applyNumberFormat="1" applyFont="1" applyBorder="1"/>
    <xf numFmtId="167" fontId="7" fillId="0" borderId="0" xfId="4" applyNumberFormat="1" applyFont="1" applyAlignment="1">
      <alignment horizontal="right" indent="1"/>
    </xf>
    <xf numFmtId="168" fontId="7" fillId="0" borderId="0" xfId="4" applyNumberFormat="1" applyFont="1"/>
    <xf numFmtId="167" fontId="7" fillId="0" borderId="0" xfId="4" applyNumberFormat="1" applyFont="1"/>
    <xf numFmtId="168" fontId="12" fillId="0" borderId="0" xfId="4" applyNumberFormat="1" applyFont="1"/>
    <xf numFmtId="167" fontId="8" fillId="0" borderId="10" xfId="4" applyNumberFormat="1" applyFont="1" applyBorder="1" applyAlignment="1">
      <alignment horizontal="right" indent="1"/>
    </xf>
    <xf numFmtId="169" fontId="7" fillId="0" borderId="0" xfId="4" applyNumberFormat="1" applyFont="1" applyAlignment="1">
      <alignment horizontal="right" indent="1"/>
    </xf>
    <xf numFmtId="165" fontId="11" fillId="0" borderId="0" xfId="4" applyNumberFormat="1" applyFont="1" applyAlignment="1">
      <alignment horizontal="right" indent="1"/>
    </xf>
    <xf numFmtId="165" fontId="12" fillId="0" borderId="0" xfId="4" applyNumberFormat="1" applyFont="1" applyAlignment="1">
      <alignment horizontal="right" indent="1"/>
    </xf>
    <xf numFmtId="169" fontId="6" fillId="0" borderId="0" xfId="4" applyNumberFormat="1" applyFont="1" applyAlignment="1">
      <alignment horizontal="right" indent="1"/>
    </xf>
    <xf numFmtId="0" fontId="13" fillId="0" borderId="0" xfId="4" applyFont="1"/>
    <xf numFmtId="165" fontId="14" fillId="0" borderId="0" xfId="4" applyNumberFormat="1" applyFont="1"/>
    <xf numFmtId="165" fontId="12" fillId="0" borderId="0" xfId="4" applyNumberFormat="1" applyFont="1"/>
    <xf numFmtId="167" fontId="8" fillId="0" borderId="0" xfId="4" applyNumberFormat="1" applyFont="1"/>
    <xf numFmtId="169" fontId="7" fillId="0" borderId="0" xfId="4" applyNumberFormat="1" applyFont="1" applyAlignment="1">
      <alignment horizontal="left"/>
    </xf>
    <xf numFmtId="0" fontId="7" fillId="0" borderId="0" xfId="4" applyFont="1" applyAlignment="1">
      <alignment horizontal="left"/>
    </xf>
    <xf numFmtId="169" fontId="12" fillId="0" borderId="0" xfId="4" applyNumberFormat="1" applyFont="1"/>
    <xf numFmtId="170" fontId="8" fillId="0" borderId="0" xfId="4" applyNumberFormat="1" applyFont="1"/>
    <xf numFmtId="169" fontId="7" fillId="0" borderId="0" xfId="4" applyNumberFormat="1" applyFont="1"/>
    <xf numFmtId="167" fontId="12" fillId="0" borderId="0" xfId="4" applyNumberFormat="1" applyFont="1"/>
    <xf numFmtId="173" fontId="12" fillId="0" borderId="0" xfId="4" applyNumberFormat="1" applyFont="1"/>
    <xf numFmtId="0" fontId="7" fillId="0" borderId="16" xfId="4" applyFont="1" applyBorder="1"/>
    <xf numFmtId="0" fontId="8" fillId="0" borderId="16" xfId="4" applyFont="1" applyBorder="1"/>
    <xf numFmtId="0" fontId="14" fillId="0" borderId="0" xfId="4" applyFont="1"/>
    <xf numFmtId="0" fontId="7" fillId="0" borderId="0" xfId="4" applyFont="1" applyAlignment="1">
      <alignment readingOrder="1"/>
    </xf>
    <xf numFmtId="0" fontId="14" fillId="0" borderId="0" xfId="4" applyFont="1" applyAlignment="1">
      <alignment readingOrder="1"/>
    </xf>
    <xf numFmtId="14" fontId="17" fillId="0" borderId="0" xfId="4" applyNumberFormat="1" applyFont="1" applyAlignment="1">
      <alignment horizontal="right" vertical="top" readingOrder="1"/>
    </xf>
    <xf numFmtId="15" fontId="18" fillId="0" borderId="0" xfId="4" applyNumberFormat="1" applyFont="1" applyAlignment="1">
      <alignment horizontal="right" vertical="top" readingOrder="1"/>
    </xf>
    <xf numFmtId="0" fontId="18" fillId="0" borderId="0" xfId="4" applyFont="1" applyAlignment="1">
      <alignment horizontal="left" vertical="top" readingOrder="1"/>
    </xf>
    <xf numFmtId="0" fontId="14" fillId="0" borderId="0" xfId="4" applyFont="1" applyAlignment="1">
      <alignment horizontal="left"/>
    </xf>
    <xf numFmtId="14" fontId="9" fillId="0" borderId="0" xfId="4" applyNumberFormat="1" applyFont="1" applyAlignment="1">
      <alignment horizontal="right" vertical="top" readingOrder="1"/>
    </xf>
    <xf numFmtId="15" fontId="20" fillId="0" borderId="0" xfId="4" applyNumberFormat="1" applyFont="1" applyAlignment="1">
      <alignment horizontal="right" vertical="top" readingOrder="1"/>
    </xf>
    <xf numFmtId="0" fontId="20" fillId="0" borderId="0" xfId="4" applyFont="1" applyAlignment="1">
      <alignment horizontal="left" vertical="top" readingOrder="1"/>
    </xf>
    <xf numFmtId="0" fontId="5" fillId="0" borderId="10" xfId="4" applyBorder="1"/>
    <xf numFmtId="0" fontId="22" fillId="0" borderId="0" xfId="4" applyFont="1"/>
    <xf numFmtId="0" fontId="23" fillId="0" borderId="18" xfId="4" applyFont="1" applyBorder="1"/>
    <xf numFmtId="14" fontId="21" fillId="0" borderId="0" xfId="4" applyNumberFormat="1" applyFont="1" applyAlignment="1">
      <alignment horizontal="right" vertical="top" readingOrder="1"/>
    </xf>
    <xf numFmtId="171" fontId="21" fillId="0" borderId="0" xfId="4" applyNumberFormat="1" applyFont="1" applyAlignment="1">
      <alignment horizontal="right" vertical="top" readingOrder="1"/>
    </xf>
    <xf numFmtId="168" fontId="21" fillId="0" borderId="0" xfId="4" applyNumberFormat="1" applyFont="1" applyAlignment="1">
      <alignment horizontal="right" vertical="top" readingOrder="1"/>
    </xf>
    <xf numFmtId="0" fontId="3" fillId="0" borderId="13" xfId="4" applyFont="1" applyBorder="1"/>
    <xf numFmtId="0" fontId="3" fillId="0" borderId="8" xfId="4" applyFont="1" applyBorder="1" applyAlignment="1">
      <alignment horizontal="centerContinuous"/>
    </xf>
    <xf numFmtId="0" fontId="3" fillId="0" borderId="21" xfId="4" applyFont="1" applyBorder="1" applyAlignment="1">
      <alignment horizontal="centerContinuous"/>
    </xf>
    <xf numFmtId="0" fontId="3" fillId="0" borderId="24" xfId="4" applyFont="1" applyBorder="1"/>
    <xf numFmtId="0" fontId="7" fillId="0" borderId="4" xfId="4" applyFont="1" applyBorder="1" applyAlignment="1">
      <alignment readingOrder="1"/>
    </xf>
    <xf numFmtId="173" fontId="21" fillId="0" borderId="0" xfId="4" applyNumberFormat="1" applyFont="1"/>
    <xf numFmtId="167" fontId="21" fillId="0" borderId="0" xfId="4" applyNumberFormat="1" applyFont="1"/>
    <xf numFmtId="167" fontId="7" fillId="0" borderId="4" xfId="4" applyNumberFormat="1" applyFont="1" applyBorder="1" applyAlignment="1">
      <alignment readingOrder="1"/>
    </xf>
    <xf numFmtId="167" fontId="7" fillId="0" borderId="0" xfId="4" applyNumberFormat="1" applyFont="1" applyAlignment="1">
      <alignment readingOrder="1"/>
    </xf>
    <xf numFmtId="170" fontId="19" fillId="0" borderId="4" xfId="4" applyNumberFormat="1" applyFont="1" applyBorder="1" applyAlignment="1">
      <alignment readingOrder="1"/>
    </xf>
    <xf numFmtId="170" fontId="19" fillId="0" borderId="0" xfId="4" applyNumberFormat="1" applyFont="1" applyAlignment="1">
      <alignment readingOrder="1"/>
    </xf>
    <xf numFmtId="173" fontId="7" fillId="0" borderId="4" xfId="4" applyNumberFormat="1" applyFont="1" applyBorder="1" applyAlignment="1">
      <alignment readingOrder="1"/>
    </xf>
    <xf numFmtId="173" fontId="7" fillId="0" borderId="0" xfId="4" applyNumberFormat="1" applyFont="1" applyAlignment="1">
      <alignment readingOrder="1"/>
    </xf>
    <xf numFmtId="168" fontId="21" fillId="0" borderId="0" xfId="4" applyNumberFormat="1" applyFont="1"/>
    <xf numFmtId="0" fontId="10" fillId="2" borderId="15" xfId="4" applyFont="1" applyFill="1" applyBorder="1"/>
    <xf numFmtId="0" fontId="3" fillId="0" borderId="6" xfId="4" applyFont="1" applyBorder="1" applyAlignment="1">
      <alignment horizontal="centerContinuous"/>
    </xf>
    <xf numFmtId="0" fontId="3" fillId="0" borderId="16" xfId="4" applyFont="1" applyBorder="1" applyAlignment="1">
      <alignment horizontal="centerContinuous"/>
    </xf>
    <xf numFmtId="172" fontId="7" fillId="0" borderId="4" xfId="4" applyNumberFormat="1" applyFont="1" applyBorder="1" applyAlignment="1">
      <alignment readingOrder="1"/>
    </xf>
    <xf numFmtId="172" fontId="7" fillId="0" borderId="0" xfId="4" applyNumberFormat="1" applyFont="1" applyAlignment="1">
      <alignment readingOrder="1"/>
    </xf>
    <xf numFmtId="172" fontId="21" fillId="0" borderId="0" xfId="4" applyNumberFormat="1" applyFont="1"/>
    <xf numFmtId="168" fontId="7" fillId="0" borderId="0" xfId="4" applyNumberFormat="1" applyFont="1" applyAlignment="1">
      <alignment readingOrder="1"/>
    </xf>
    <xf numFmtId="0" fontId="3" fillId="0" borderId="25" xfId="4" applyFont="1" applyBorder="1" applyAlignment="1">
      <alignment horizontal="centerContinuous"/>
    </xf>
    <xf numFmtId="0" fontId="3" fillId="0" borderId="26" xfId="4" applyFont="1" applyBorder="1" applyAlignment="1">
      <alignment horizontal="centerContinuous"/>
    </xf>
    <xf numFmtId="0" fontId="3" fillId="0" borderId="27" xfId="4" applyFont="1" applyBorder="1" applyAlignment="1">
      <alignment horizontal="centerContinuous"/>
    </xf>
    <xf numFmtId="0" fontId="10" fillId="0" borderId="15" xfId="4" applyFont="1" applyBorder="1"/>
    <xf numFmtId="170" fontId="16" fillId="0" borderId="0" xfId="4" applyNumberFormat="1" applyFont="1"/>
    <xf numFmtId="7" fontId="7" fillId="0" borderId="5" xfId="4" applyNumberFormat="1" applyFont="1" applyBorder="1" applyAlignment="1">
      <alignment readingOrder="1"/>
    </xf>
    <xf numFmtId="0" fontId="0" fillId="0" borderId="16" xfId="0" applyBorder="1"/>
    <xf numFmtId="0" fontId="0" fillId="0" borderId="7" xfId="0" applyBorder="1"/>
    <xf numFmtId="0" fontId="0" fillId="0" borderId="30" xfId="0" applyBorder="1"/>
    <xf numFmtId="0" fontId="0" fillId="0" borderId="31" xfId="0" applyBorder="1"/>
    <xf numFmtId="0" fontId="0" fillId="0" borderId="0" xfId="0" applyAlignment="1">
      <alignment horizontal="left" indent="1"/>
    </xf>
    <xf numFmtId="165" fontId="0" fillId="0" borderId="0" xfId="0" applyNumberFormat="1" applyAlignment="1">
      <alignment horizontal="center"/>
    </xf>
    <xf numFmtId="174" fontId="0" fillId="0" borderId="0" xfId="0" applyNumberFormat="1" applyAlignment="1">
      <alignment horizontal="center"/>
    </xf>
    <xf numFmtId="41" fontId="0" fillId="0" borderId="0" xfId="0" applyNumberFormat="1" applyAlignment="1">
      <alignment horizontal="center"/>
    </xf>
    <xf numFmtId="0" fontId="0" fillId="0" borderId="0" xfId="0" applyAlignment="1">
      <alignment horizontal="right"/>
    </xf>
    <xf numFmtId="9" fontId="0" fillId="0" borderId="0" xfId="3" applyFont="1" applyAlignment="1">
      <alignment horizontal="right"/>
    </xf>
    <xf numFmtId="10" fontId="0" fillId="0" borderId="0" xfId="0" applyNumberFormat="1" applyAlignment="1">
      <alignment horizontal="right"/>
    </xf>
    <xf numFmtId="9" fontId="0" fillId="0" borderId="0" xfId="0" applyNumberFormat="1" applyAlignment="1">
      <alignment horizontal="right"/>
    </xf>
    <xf numFmtId="0" fontId="0" fillId="3" borderId="28" xfId="0" applyFill="1" applyBorder="1"/>
    <xf numFmtId="176" fontId="0" fillId="0" borderId="0" xfId="1" applyNumberFormat="1" applyFont="1" applyFill="1"/>
    <xf numFmtId="2" fontId="0" fillId="3" borderId="28" xfId="0" applyNumberFormat="1" applyFill="1" applyBorder="1" applyAlignment="1">
      <alignment horizontal="right"/>
    </xf>
    <xf numFmtId="178" fontId="0" fillId="3" borderId="28" xfId="0" applyNumberFormat="1" applyFill="1" applyBorder="1" applyAlignment="1">
      <alignment horizontal="center"/>
    </xf>
    <xf numFmtId="179" fontId="0" fillId="0" borderId="0" xfId="1" applyNumberFormat="1" applyFont="1"/>
    <xf numFmtId="3" fontId="0" fillId="0" borderId="0" xfId="0" applyNumberFormat="1"/>
    <xf numFmtId="2" fontId="0" fillId="0" borderId="0" xfId="0" applyNumberFormat="1" applyAlignment="1">
      <alignment horizontal="right"/>
    </xf>
    <xf numFmtId="178" fontId="0" fillId="0" borderId="0" xfId="0" applyNumberFormat="1" applyAlignment="1">
      <alignment horizontal="right"/>
    </xf>
    <xf numFmtId="0" fontId="28" fillId="0" borderId="0" xfId="0" applyFont="1"/>
    <xf numFmtId="43" fontId="29" fillId="0" borderId="0" xfId="0" applyNumberFormat="1" applyFont="1"/>
    <xf numFmtId="0" fontId="0" fillId="3" borderId="0" xfId="0" applyFill="1"/>
    <xf numFmtId="180" fontId="29" fillId="0" borderId="0" xfId="0" applyNumberFormat="1" applyFont="1"/>
    <xf numFmtId="180" fontId="0" fillId="0" borderId="0" xfId="0" applyNumberFormat="1"/>
    <xf numFmtId="4" fontId="29" fillId="0" borderId="0" xfId="2" applyNumberFormat="1" applyFont="1" applyBorder="1"/>
    <xf numFmtId="174" fontId="0" fillId="0" borderId="4" xfId="0" applyNumberFormat="1" applyBorder="1" applyAlignment="1">
      <alignment horizontal="center"/>
    </xf>
    <xf numFmtId="2" fontId="0" fillId="0" borderId="5" xfId="3" applyNumberFormat="1" applyFont="1" applyBorder="1"/>
    <xf numFmtId="10" fontId="0" fillId="0" borderId="5" xfId="3" applyNumberFormat="1" applyFont="1" applyBorder="1"/>
    <xf numFmtId="0" fontId="26" fillId="2" borderId="8" xfId="0" applyFont="1" applyFill="1" applyBorder="1" applyAlignment="1">
      <alignment horizontal="center"/>
    </xf>
    <xf numFmtId="0" fontId="26" fillId="2" borderId="21" xfId="0" applyFont="1" applyFill="1" applyBorder="1" applyAlignment="1">
      <alignment horizontal="center"/>
    </xf>
    <xf numFmtId="0" fontId="26" fillId="2" borderId="9" xfId="0" applyFont="1" applyFill="1" applyBorder="1" applyAlignment="1">
      <alignment horizontal="center"/>
    </xf>
    <xf numFmtId="0" fontId="2" fillId="2" borderId="9" xfId="0" applyFont="1" applyFill="1" applyBorder="1" applyAlignment="1">
      <alignment horizontal="center"/>
    </xf>
    <xf numFmtId="0" fontId="4" fillId="0" borderId="28" xfId="0" applyFont="1" applyBorder="1"/>
    <xf numFmtId="0" fontId="4" fillId="0" borderId="2" xfId="0" applyFont="1" applyBorder="1"/>
    <xf numFmtId="0" fontId="0" fillId="0" borderId="28" xfId="0" applyBorder="1"/>
    <xf numFmtId="0" fontId="0" fillId="0" borderId="4" xfId="0" applyBorder="1" applyAlignment="1">
      <alignment horizontal="left" indent="1"/>
    </xf>
    <xf numFmtId="0" fontId="0" fillId="0" borderId="6" xfId="0" applyBorder="1" applyAlignment="1">
      <alignment horizontal="left" indent="1"/>
    </xf>
    <xf numFmtId="4" fontId="29" fillId="0" borderId="16" xfId="2" applyNumberFormat="1" applyFont="1" applyBorder="1"/>
    <xf numFmtId="174" fontId="0" fillId="0" borderId="6" xfId="0" applyNumberFormat="1" applyBorder="1" applyAlignment="1">
      <alignment horizontal="center"/>
    </xf>
    <xf numFmtId="174" fontId="0" fillId="0" borderId="16" xfId="0" applyNumberFormat="1" applyBorder="1" applyAlignment="1">
      <alignment horizontal="center"/>
    </xf>
    <xf numFmtId="2" fontId="0" fillId="0" borderId="7" xfId="3" applyNumberFormat="1" applyFont="1" applyBorder="1"/>
    <xf numFmtId="0" fontId="0" fillId="5" borderId="2" xfId="0" applyFill="1" applyBorder="1"/>
    <xf numFmtId="0" fontId="0" fillId="5" borderId="28" xfId="0" applyFill="1" applyBorder="1"/>
    <xf numFmtId="174" fontId="0" fillId="5" borderId="28" xfId="0" applyNumberFormat="1" applyFill="1" applyBorder="1" applyAlignment="1">
      <alignment horizontal="center"/>
    </xf>
    <xf numFmtId="2" fontId="0" fillId="5" borderId="3" xfId="3" applyNumberFormat="1" applyFont="1" applyFill="1" applyBorder="1" applyAlignment="1">
      <alignment horizontal="center"/>
    </xf>
    <xf numFmtId="0" fontId="0" fillId="5" borderId="6" xfId="0" applyFill="1" applyBorder="1"/>
    <xf numFmtId="0" fontId="0" fillId="5" borderId="16" xfId="0" applyFill="1" applyBorder="1"/>
    <xf numFmtId="174" fontId="0" fillId="5" borderId="16" xfId="0" applyNumberFormat="1" applyFill="1" applyBorder="1" applyAlignment="1">
      <alignment horizontal="center"/>
    </xf>
    <xf numFmtId="0" fontId="0" fillId="5" borderId="4" xfId="0" applyFill="1" applyBorder="1"/>
    <xf numFmtId="0" fontId="0" fillId="5" borderId="0" xfId="0" applyFill="1"/>
    <xf numFmtId="174" fontId="0" fillId="5" borderId="0" xfId="0" applyNumberFormat="1" applyFill="1" applyAlignment="1">
      <alignment horizontal="center"/>
    </xf>
    <xf numFmtId="2" fontId="0" fillId="5" borderId="5" xfId="0" applyNumberFormat="1" applyFill="1" applyBorder="1" applyAlignment="1">
      <alignment horizontal="center"/>
    </xf>
    <xf numFmtId="10" fontId="0" fillId="5" borderId="8" xfId="3" applyNumberFormat="1" applyFont="1" applyFill="1" applyBorder="1"/>
    <xf numFmtId="10" fontId="0" fillId="5" borderId="21" xfId="3" applyNumberFormat="1" applyFont="1" applyFill="1" applyBorder="1"/>
    <xf numFmtId="175" fontId="0" fillId="5" borderId="21" xfId="0" applyNumberFormat="1" applyFill="1" applyBorder="1" applyAlignment="1">
      <alignment horizontal="center"/>
    </xf>
    <xf numFmtId="175" fontId="0" fillId="5" borderId="9" xfId="0" applyNumberFormat="1" applyFill="1" applyBorder="1" applyAlignment="1">
      <alignment horizontal="center"/>
    </xf>
    <xf numFmtId="0" fontId="26" fillId="0" borderId="0" xfId="0" applyFont="1" applyAlignment="1">
      <alignment horizontal="left"/>
    </xf>
    <xf numFmtId="0" fontId="26" fillId="0" borderId="0" xfId="0" applyFont="1" applyAlignment="1">
      <alignment horizontal="center"/>
    </xf>
    <xf numFmtId="177" fontId="0" fillId="0" borderId="0" xfId="0" applyNumberFormat="1" applyAlignment="1">
      <alignment horizontal="center"/>
    </xf>
    <xf numFmtId="177" fontId="0" fillId="0" borderId="0" xfId="0" applyNumberFormat="1"/>
    <xf numFmtId="10" fontId="0" fillId="0" borderId="0" xfId="0" applyNumberFormat="1"/>
    <xf numFmtId="2" fontId="0" fillId="0" borderId="0" xfId="0" applyNumberFormat="1"/>
    <xf numFmtId="0" fontId="3" fillId="0" borderId="0" xfId="0" applyFont="1"/>
    <xf numFmtId="0" fontId="2" fillId="2" borderId="2" xfId="0" applyFont="1" applyFill="1" applyBorder="1"/>
    <xf numFmtId="3" fontId="0" fillId="0" borderId="5" xfId="0" applyNumberFormat="1" applyBorder="1"/>
    <xf numFmtId="3" fontId="0" fillId="0" borderId="7" xfId="0" applyNumberFormat="1" applyBorder="1"/>
    <xf numFmtId="0" fontId="0" fillId="2" borderId="9" xfId="0" applyFill="1" applyBorder="1"/>
    <xf numFmtId="0" fontId="0" fillId="6" borderId="8" xfId="0" applyFill="1" applyBorder="1"/>
    <xf numFmtId="174" fontId="0" fillId="0" borderId="0" xfId="0" applyNumberFormat="1"/>
    <xf numFmtId="41" fontId="0" fillId="0" borderId="0" xfId="0" applyNumberFormat="1"/>
    <xf numFmtId="43" fontId="0" fillId="0" borderId="0" xfId="0" applyNumberFormat="1"/>
    <xf numFmtId="2" fontId="0" fillId="0" borderId="0" xfId="0" applyNumberFormat="1" applyAlignment="1">
      <alignment horizontal="center"/>
    </xf>
    <xf numFmtId="0" fontId="4" fillId="2" borderId="28" xfId="0" applyFont="1" applyFill="1" applyBorder="1"/>
    <xf numFmtId="0" fontId="4" fillId="2" borderId="3" xfId="0" applyFont="1" applyFill="1" applyBorder="1"/>
    <xf numFmtId="0" fontId="8" fillId="6" borderId="4" xfId="0" applyFont="1" applyFill="1" applyBorder="1"/>
    <xf numFmtId="0" fontId="8" fillId="6" borderId="0" xfId="0" applyFont="1" applyFill="1"/>
    <xf numFmtId="0" fontId="8" fillId="6" borderId="5" xfId="0" applyFont="1" applyFill="1" applyBorder="1"/>
    <xf numFmtId="43" fontId="0" fillId="0" borderId="5" xfId="0" applyNumberFormat="1" applyBorder="1"/>
    <xf numFmtId="174" fontId="0" fillId="0" borderId="16" xfId="0" applyNumberFormat="1" applyBorder="1"/>
    <xf numFmtId="41" fontId="0" fillId="0" borderId="16" xfId="0" applyNumberFormat="1" applyBorder="1"/>
    <xf numFmtId="3" fontId="0" fillId="0" borderId="16" xfId="0" applyNumberFormat="1" applyBorder="1"/>
    <xf numFmtId="43" fontId="0" fillId="0" borderId="7" xfId="0" applyNumberFormat="1" applyBorder="1"/>
    <xf numFmtId="0" fontId="3" fillId="6" borderId="2" xfId="0" applyFont="1" applyFill="1" applyBorder="1"/>
    <xf numFmtId="0" fontId="3" fillId="6" borderId="3" xfId="0" applyFont="1" applyFill="1" applyBorder="1"/>
    <xf numFmtId="0" fontId="26" fillId="7" borderId="21" xfId="0" applyFont="1" applyFill="1" applyBorder="1"/>
    <xf numFmtId="0" fontId="26" fillId="7" borderId="8" xfId="0" applyFont="1" applyFill="1" applyBorder="1"/>
    <xf numFmtId="0" fontId="26" fillId="7" borderId="9" xfId="0" applyFont="1" applyFill="1" applyBorder="1"/>
    <xf numFmtId="14" fontId="0" fillId="0" borderId="4" xfId="0" applyNumberFormat="1" applyBorder="1"/>
    <xf numFmtId="164" fontId="0" fillId="0" borderId="0" xfId="2" applyNumberFormat="1" applyFont="1" applyBorder="1" applyAlignment="1">
      <alignment horizontal="right"/>
    </xf>
    <xf numFmtId="178" fontId="0" fillId="0" borderId="0" xfId="0" applyNumberFormat="1" applyAlignment="1">
      <alignment horizontal="center"/>
    </xf>
    <xf numFmtId="178" fontId="0" fillId="0" borderId="5" xfId="0" applyNumberFormat="1" applyBorder="1" applyAlignment="1">
      <alignment horizontal="center"/>
    </xf>
    <xf numFmtId="178" fontId="0" fillId="3" borderId="3" xfId="0" applyNumberFormat="1" applyFill="1" applyBorder="1" applyAlignment="1">
      <alignment horizontal="center"/>
    </xf>
    <xf numFmtId="178" fontId="0" fillId="3" borderId="0" xfId="0" applyNumberFormat="1" applyFill="1" applyAlignment="1">
      <alignment horizontal="center"/>
    </xf>
    <xf numFmtId="178" fontId="0" fillId="3" borderId="5" xfId="0" applyNumberFormat="1" applyFill="1" applyBorder="1" applyAlignment="1">
      <alignment horizontal="center"/>
    </xf>
    <xf numFmtId="0" fontId="27" fillId="3" borderId="16" xfId="0" applyFont="1" applyFill="1" applyBorder="1"/>
    <xf numFmtId="175" fontId="27" fillId="3" borderId="16" xfId="0" applyNumberFormat="1" applyFont="1" applyFill="1" applyBorder="1" applyAlignment="1">
      <alignment horizontal="center"/>
    </xf>
    <xf numFmtId="175" fontId="27" fillId="3" borderId="7" xfId="0" applyNumberFormat="1" applyFont="1" applyFill="1" applyBorder="1" applyAlignment="1">
      <alignment horizontal="center"/>
    </xf>
    <xf numFmtId="0" fontId="0" fillId="3" borderId="2" xfId="0" applyFill="1" applyBorder="1"/>
    <xf numFmtId="0" fontId="0" fillId="3" borderId="4" xfId="0" applyFill="1" applyBorder="1"/>
    <xf numFmtId="0" fontId="27" fillId="3" borderId="6" xfId="0" applyFont="1" applyFill="1" applyBorder="1"/>
    <xf numFmtId="0" fontId="8" fillId="6" borderId="8" xfId="0" applyFont="1" applyFill="1" applyBorder="1"/>
    <xf numFmtId="0" fontId="8" fillId="6" borderId="21" xfId="0" applyFont="1" applyFill="1" applyBorder="1"/>
    <xf numFmtId="0" fontId="8" fillId="6" borderId="9" xfId="0" applyFont="1" applyFill="1" applyBorder="1"/>
    <xf numFmtId="0" fontId="0" fillId="6" borderId="21" xfId="0" applyFill="1" applyBorder="1"/>
    <xf numFmtId="0" fontId="0" fillId="6" borderId="9" xfId="0" applyFill="1" applyBorder="1"/>
    <xf numFmtId="0" fontId="26" fillId="7" borderId="28" xfId="0" applyFont="1" applyFill="1" applyBorder="1"/>
    <xf numFmtId="0" fontId="3" fillId="6" borderId="8" xfId="0" applyFont="1" applyFill="1" applyBorder="1"/>
    <xf numFmtId="0" fontId="3" fillId="6" borderId="9" xfId="0" applyFont="1" applyFill="1" applyBorder="1"/>
    <xf numFmtId="170" fontId="19" fillId="0" borderId="5" xfId="4" applyNumberFormat="1" applyFont="1" applyBorder="1" applyAlignment="1">
      <alignment horizontal="right" readingOrder="1"/>
    </xf>
    <xf numFmtId="2" fontId="19" fillId="0" borderId="7" xfId="4" applyNumberFormat="1" applyFont="1" applyBorder="1" applyAlignment="1">
      <alignment readingOrder="1"/>
    </xf>
    <xf numFmtId="170" fontId="19" fillId="0" borderId="5" xfId="4" applyNumberFormat="1" applyFont="1" applyBorder="1" applyAlignment="1">
      <alignment horizontal="right" vertical="top" readingOrder="1"/>
    </xf>
    <xf numFmtId="170" fontId="14" fillId="0" borderId="0" xfId="4" applyNumberFormat="1" applyFont="1" applyAlignment="1">
      <alignment readingOrder="1"/>
    </xf>
    <xf numFmtId="174" fontId="0" fillId="5" borderId="7" xfId="0" applyNumberFormat="1" applyFill="1" applyBorder="1" applyAlignment="1">
      <alignment horizontal="center"/>
    </xf>
    <xf numFmtId="0" fontId="3" fillId="6" borderId="28" xfId="0" applyFont="1" applyFill="1" applyBorder="1"/>
    <xf numFmtId="8" fontId="0" fillId="0" borderId="16" xfId="0" applyNumberFormat="1" applyBorder="1"/>
    <xf numFmtId="8" fontId="0" fillId="0" borderId="7" xfId="0" applyNumberFormat="1" applyBorder="1"/>
    <xf numFmtId="43" fontId="0" fillId="0" borderId="16" xfId="0" applyNumberFormat="1" applyBorder="1"/>
    <xf numFmtId="0" fontId="3" fillId="6" borderId="21" xfId="0" applyFont="1" applyFill="1" applyBorder="1"/>
    <xf numFmtId="2" fontId="3" fillId="6" borderId="9" xfId="0" applyNumberFormat="1" applyFont="1" applyFill="1" applyBorder="1"/>
    <xf numFmtId="9" fontId="30" fillId="0" borderId="5" xfId="3" applyFont="1" applyBorder="1"/>
    <xf numFmtId="9" fontId="30" fillId="0" borderId="7" xfId="3" applyFont="1" applyBorder="1"/>
    <xf numFmtId="165" fontId="14" fillId="0" borderId="0" xfId="3" applyNumberFormat="1" applyFont="1" applyFill="1" applyAlignment="1">
      <alignment horizontal="right" vertical="top" readingOrder="1"/>
    </xf>
    <xf numFmtId="166" fontId="12" fillId="0" borderId="0" xfId="4" applyNumberFormat="1" applyFont="1"/>
    <xf numFmtId="0" fontId="0" fillId="0" borderId="0" xfId="0" applyAlignment="1">
      <alignment horizontal="left" vertical="top" wrapText="1"/>
    </xf>
    <xf numFmtId="0" fontId="0" fillId="0" borderId="0" xfId="0" applyAlignment="1">
      <alignment vertical="top" wrapText="1"/>
    </xf>
    <xf numFmtId="0" fontId="0" fillId="6" borderId="0" xfId="0" applyFill="1"/>
    <xf numFmtId="0" fontId="3" fillId="6" borderId="0" xfId="0" applyFont="1" applyFill="1"/>
    <xf numFmtId="0" fontId="31" fillId="0" borderId="0" xfId="0" applyFont="1"/>
    <xf numFmtId="0" fontId="8" fillId="8" borderId="29" xfId="0" applyFont="1" applyFill="1" applyBorder="1"/>
    <xf numFmtId="0" fontId="8" fillId="8" borderId="28" xfId="0" applyFont="1" applyFill="1" applyBorder="1"/>
    <xf numFmtId="0" fontId="7" fillId="8" borderId="28" xfId="0" applyFont="1" applyFill="1" applyBorder="1"/>
    <xf numFmtId="0" fontId="7" fillId="8" borderId="3" xfId="0" applyFont="1" applyFill="1" applyBorder="1"/>
    <xf numFmtId="3" fontId="29" fillId="0" borderId="5" xfId="0" applyNumberFormat="1" applyFont="1" applyBorder="1"/>
    <xf numFmtId="3" fontId="7" fillId="0" borderId="5" xfId="0" applyNumberFormat="1" applyFont="1" applyBorder="1"/>
    <xf numFmtId="3" fontId="0" fillId="0" borderId="5" xfId="2" applyNumberFormat="1" applyFont="1" applyBorder="1"/>
    <xf numFmtId="3" fontId="0" fillId="0" borderId="7" xfId="2" applyNumberFormat="1" applyFont="1" applyBorder="1"/>
    <xf numFmtId="0" fontId="0" fillId="0" borderId="2" xfId="0" applyBorder="1"/>
    <xf numFmtId="3" fontId="0" fillId="0" borderId="3" xfId="0" applyNumberFormat="1" applyBorder="1"/>
    <xf numFmtId="0" fontId="0" fillId="0" borderId="0" xfId="0" applyAlignment="1">
      <alignment horizontal="left" wrapText="1"/>
    </xf>
    <xf numFmtId="44" fontId="7" fillId="0" borderId="5" xfId="2" applyFont="1" applyBorder="1"/>
    <xf numFmtId="0" fontId="32" fillId="0" borderId="0" xfId="0" applyFont="1" applyAlignment="1">
      <alignment horizontal="center" vertical="center" wrapText="1"/>
    </xf>
    <xf numFmtId="0" fontId="2" fillId="2" borderId="0" xfId="0" applyFont="1" applyFill="1"/>
    <xf numFmtId="0" fontId="29" fillId="0" borderId="0" xfId="0" applyFont="1"/>
    <xf numFmtId="164" fontId="29" fillId="0" borderId="0" xfId="0" applyNumberFormat="1" applyFont="1"/>
    <xf numFmtId="14" fontId="29" fillId="0" borderId="0" xfId="0" applyNumberFormat="1" applyFont="1"/>
    <xf numFmtId="0" fontId="8" fillId="0" borderId="2" xfId="0" applyFont="1" applyBorder="1"/>
    <xf numFmtId="168" fontId="21" fillId="9" borderId="0" xfId="4" applyNumberFormat="1" applyFont="1" applyFill="1"/>
    <xf numFmtId="0" fontId="0" fillId="0" borderId="32" xfId="0" applyBorder="1" applyAlignment="1">
      <alignment horizontal="left" indent="1"/>
    </xf>
    <xf numFmtId="167" fontId="7" fillId="0" borderId="11" xfId="4" applyNumberFormat="1" applyFont="1" applyBorder="1" applyAlignment="1">
      <alignment readingOrder="1"/>
    </xf>
    <xf numFmtId="0" fontId="7" fillId="0" borderId="11" xfId="4" applyFont="1" applyBorder="1" applyAlignment="1">
      <alignment readingOrder="1"/>
    </xf>
    <xf numFmtId="0" fontId="7" fillId="9" borderId="13" xfId="4" applyFont="1" applyFill="1" applyBorder="1"/>
    <xf numFmtId="167" fontId="21" fillId="9" borderId="0" xfId="4" applyNumberFormat="1" applyFont="1" applyFill="1"/>
    <xf numFmtId="172" fontId="21" fillId="9" borderId="0" xfId="4" applyNumberFormat="1" applyFont="1" applyFill="1"/>
    <xf numFmtId="15" fontId="20" fillId="9" borderId="0" xfId="4" applyNumberFormat="1" applyFont="1" applyFill="1" applyAlignment="1">
      <alignment horizontal="right" vertical="top" readingOrder="1"/>
    </xf>
    <xf numFmtId="0" fontId="33" fillId="0" borderId="0" xfId="4" applyFont="1"/>
    <xf numFmtId="0" fontId="34" fillId="0" borderId="0" xfId="4" applyFont="1"/>
    <xf numFmtId="165" fontId="14" fillId="0" borderId="0" xfId="3" applyNumberFormat="1" applyFont="1" applyAlignment="1">
      <alignment horizontal="right" vertical="top" readingOrder="1"/>
    </xf>
    <xf numFmtId="0" fontId="33" fillId="0" borderId="10" xfId="4" applyFont="1" applyBorder="1"/>
    <xf numFmtId="169" fontId="34" fillId="0" borderId="0" xfId="4" applyNumberFormat="1" applyFont="1" applyAlignment="1">
      <alignment horizontal="right" indent="1"/>
    </xf>
    <xf numFmtId="170" fontId="35" fillId="0" borderId="4" xfId="4" applyNumberFormat="1" applyFont="1" applyBorder="1" applyAlignment="1">
      <alignment readingOrder="1"/>
    </xf>
    <xf numFmtId="170" fontId="35" fillId="0" borderId="0" xfId="4" applyNumberFormat="1" applyFont="1" applyAlignment="1">
      <alignment readingOrder="1"/>
    </xf>
    <xf numFmtId="170" fontId="35" fillId="9" borderId="4" xfId="4" applyNumberFormat="1" applyFont="1" applyFill="1" applyBorder="1" applyAlignment="1">
      <alignment readingOrder="1"/>
    </xf>
    <xf numFmtId="170" fontId="35" fillId="9" borderId="0" xfId="4" applyNumberFormat="1" applyFont="1" applyFill="1" applyAlignment="1">
      <alignment readingOrder="1"/>
    </xf>
    <xf numFmtId="0" fontId="3" fillId="0" borderId="14" xfId="4" applyFont="1" applyBorder="1"/>
    <xf numFmtId="0" fontId="3" fillId="0" borderId="32" xfId="4" applyFont="1" applyBorder="1"/>
    <xf numFmtId="0" fontId="20" fillId="0" borderId="32" xfId="4" applyFont="1" applyBorder="1" applyAlignment="1">
      <alignment horizontal="left" vertical="top" readingOrder="1"/>
    </xf>
    <xf numFmtId="0" fontId="10" fillId="2" borderId="33" xfId="4" applyFont="1" applyFill="1" applyBorder="1"/>
    <xf numFmtId="170" fontId="19" fillId="9" borderId="11" xfId="4" applyNumberFormat="1" applyFont="1" applyFill="1" applyBorder="1" applyAlignment="1">
      <alignment readingOrder="1"/>
    </xf>
    <xf numFmtId="170" fontId="19" fillId="9" borderId="0" xfId="4" applyNumberFormat="1" applyFont="1" applyFill="1" applyAlignment="1">
      <alignment readingOrder="1"/>
    </xf>
    <xf numFmtId="164" fontId="0" fillId="0" borderId="0" xfId="2" applyNumberFormat="1" applyFont="1" applyAlignment="1">
      <alignment horizontal="right"/>
    </xf>
    <xf numFmtId="0" fontId="7" fillId="9" borderId="0" xfId="4" applyFont="1" applyFill="1"/>
    <xf numFmtId="165" fontId="11" fillId="9" borderId="0" xfId="4" applyNumberFormat="1" applyFont="1" applyFill="1" applyAlignment="1">
      <alignment horizontal="right" indent="1"/>
    </xf>
    <xf numFmtId="0" fontId="7" fillId="9" borderId="0" xfId="4" applyFont="1" applyFill="1" applyAlignment="1">
      <alignment horizontal="left" indent="1"/>
    </xf>
    <xf numFmtId="169" fontId="7" fillId="9" borderId="0" xfId="4" applyNumberFormat="1" applyFont="1" applyFill="1" applyAlignment="1">
      <alignment horizontal="left"/>
    </xf>
    <xf numFmtId="168" fontId="12" fillId="9" borderId="0" xfId="4" applyNumberFormat="1" applyFont="1" applyFill="1"/>
    <xf numFmtId="169" fontId="12" fillId="9" borderId="0" xfId="4" applyNumberFormat="1" applyFont="1" applyFill="1"/>
    <xf numFmtId="0" fontId="0" fillId="0" borderId="18" xfId="0" applyBorder="1"/>
    <xf numFmtId="10" fontId="7" fillId="0" borderId="0" xfId="4" applyNumberFormat="1" applyFont="1" applyAlignment="1">
      <alignment readingOrder="1"/>
    </xf>
    <xf numFmtId="0" fontId="29" fillId="0" borderId="16" xfId="0" applyFont="1" applyBorder="1" applyAlignment="1">
      <alignment wrapText="1"/>
    </xf>
    <xf numFmtId="42" fontId="0" fillId="0" borderId="0" xfId="0" applyNumberFormat="1" applyAlignment="1">
      <alignment horizontal="center"/>
    </xf>
    <xf numFmtId="43" fontId="0" fillId="0" borderId="0" xfId="0" applyNumberFormat="1" applyAlignment="1">
      <alignment horizontal="center"/>
    </xf>
    <xf numFmtId="176" fontId="29" fillId="0" borderId="0" xfId="2" applyNumberFormat="1" applyFont="1" applyBorder="1"/>
    <xf numFmtId="176" fontId="29" fillId="0" borderId="0" xfId="0" applyNumberFormat="1" applyFont="1" applyAlignment="1">
      <alignment horizontal="center"/>
    </xf>
    <xf numFmtId="176" fontId="0" fillId="0" borderId="0" xfId="0" applyNumberFormat="1" applyAlignment="1">
      <alignment horizontal="center"/>
    </xf>
    <xf numFmtId="176" fontId="29" fillId="0" borderId="16" xfId="2" applyNumberFormat="1" applyFont="1" applyBorder="1"/>
    <xf numFmtId="176" fontId="29" fillId="0" borderId="5" xfId="0" applyNumberFormat="1" applyFont="1" applyBorder="1" applyAlignment="1">
      <alignment horizontal="center"/>
    </xf>
    <xf numFmtId="176" fontId="0" fillId="0" borderId="5" xfId="0" applyNumberFormat="1" applyBorder="1"/>
    <xf numFmtId="176" fontId="29" fillId="0" borderId="5" xfId="2" applyNumberFormat="1" applyFont="1" applyBorder="1"/>
    <xf numFmtId="176" fontId="29" fillId="0" borderId="7" xfId="2" applyNumberFormat="1" applyFont="1" applyBorder="1"/>
    <xf numFmtId="182" fontId="29" fillId="0" borderId="0" xfId="0" applyNumberFormat="1" applyFont="1" applyAlignment="1">
      <alignment horizontal="center"/>
    </xf>
    <xf numFmtId="183" fontId="29" fillId="0" borderId="0" xfId="0" applyNumberFormat="1" applyFont="1" applyAlignment="1">
      <alignment horizontal="center"/>
    </xf>
    <xf numFmtId="181" fontId="29" fillId="0" borderId="0" xfId="2" applyNumberFormat="1" applyFont="1" applyBorder="1"/>
    <xf numFmtId="181" fontId="29" fillId="0" borderId="16" xfId="2" applyNumberFormat="1" applyFont="1" applyBorder="1"/>
    <xf numFmtId="0" fontId="0" fillId="9" borderId="4" xfId="0" applyFill="1" applyBorder="1" applyAlignment="1">
      <alignment horizontal="left" indent="1"/>
    </xf>
    <xf numFmtId="4" fontId="29" fillId="9" borderId="0" xfId="2" applyNumberFormat="1" applyFont="1" applyFill="1" applyBorder="1"/>
    <xf numFmtId="181" fontId="29" fillId="9" borderId="0" xfId="2" applyNumberFormat="1" applyFont="1" applyFill="1" applyBorder="1"/>
    <xf numFmtId="176" fontId="29" fillId="9" borderId="0" xfId="2" applyNumberFormat="1" applyFont="1" applyFill="1" applyBorder="1"/>
    <xf numFmtId="176" fontId="29" fillId="9" borderId="5" xfId="2" applyNumberFormat="1" applyFont="1" applyFill="1" applyBorder="1"/>
    <xf numFmtId="174" fontId="0" fillId="9" borderId="4" xfId="0" applyNumberFormat="1" applyFill="1" applyBorder="1" applyAlignment="1">
      <alignment horizontal="center"/>
    </xf>
    <xf numFmtId="174" fontId="0" fillId="9" borderId="0" xfId="0" applyNumberFormat="1" applyFill="1" applyAlignment="1">
      <alignment horizontal="center"/>
    </xf>
    <xf numFmtId="2" fontId="0" fillId="9" borderId="5" xfId="3" applyNumberFormat="1" applyFont="1" applyFill="1" applyBorder="1"/>
    <xf numFmtId="0" fontId="0" fillId="9" borderId="0" xfId="0" applyFill="1"/>
    <xf numFmtId="14" fontId="0" fillId="0" borderId="23" xfId="0" applyNumberFormat="1" applyBorder="1"/>
    <xf numFmtId="41" fontId="0" fillId="0" borderId="18" xfId="0" applyNumberFormat="1" applyBorder="1" applyAlignment="1">
      <alignment horizontal="center"/>
    </xf>
    <xf numFmtId="164" fontId="0" fillId="0" borderId="18" xfId="2" applyNumberFormat="1" applyFont="1" applyBorder="1" applyAlignment="1">
      <alignment horizontal="right"/>
    </xf>
    <xf numFmtId="178" fontId="0" fillId="0" borderId="18" xfId="0" applyNumberFormat="1" applyBorder="1" applyAlignment="1">
      <alignment horizontal="center"/>
    </xf>
    <xf numFmtId="178" fontId="0" fillId="0" borderId="0" xfId="0" applyNumberFormat="1"/>
    <xf numFmtId="8" fontId="0" fillId="0" borderId="0" xfId="0" applyNumberFormat="1"/>
    <xf numFmtId="0" fontId="26" fillId="10" borderId="9" xfId="0" applyFont="1" applyFill="1" applyBorder="1"/>
    <xf numFmtId="178" fontId="0" fillId="10" borderId="5" xfId="0" applyNumberFormat="1" applyFill="1" applyBorder="1" applyAlignment="1">
      <alignment horizontal="center"/>
    </xf>
    <xf numFmtId="178" fontId="0" fillId="10" borderId="34" xfId="0" applyNumberFormat="1" applyFill="1" applyBorder="1" applyAlignment="1">
      <alignment horizontal="center"/>
    </xf>
    <xf numFmtId="0" fontId="2" fillId="10" borderId="9" xfId="0" applyFont="1" applyFill="1" applyBorder="1" applyAlignment="1">
      <alignment horizontal="center"/>
    </xf>
    <xf numFmtId="0" fontId="0" fillId="10" borderId="3" xfId="0" applyFill="1" applyBorder="1"/>
    <xf numFmtId="2" fontId="0" fillId="10" borderId="5" xfId="3" applyNumberFormat="1" applyFont="1" applyFill="1" applyBorder="1"/>
    <xf numFmtId="10" fontId="0" fillId="10" borderId="5" xfId="3" applyNumberFormat="1" applyFont="1" applyFill="1" applyBorder="1"/>
    <xf numFmtId="2" fontId="0" fillId="10" borderId="7" xfId="3" applyNumberFormat="1" applyFont="1" applyFill="1" applyBorder="1"/>
    <xf numFmtId="14" fontId="0" fillId="0" borderId="4" xfId="0" applyNumberFormat="1" applyBorder="1" applyAlignment="1">
      <alignment horizontal="center"/>
    </xf>
    <xf numFmtId="165" fontId="37" fillId="9" borderId="0" xfId="4" applyNumberFormat="1" applyFont="1" applyFill="1" applyAlignment="1">
      <alignment horizontal="right" indent="1"/>
    </xf>
    <xf numFmtId="0" fontId="0" fillId="0" borderId="6" xfId="0" applyBorder="1" applyAlignment="1">
      <alignment horizontal="center"/>
    </xf>
    <xf numFmtId="0" fontId="25" fillId="2" borderId="0" xfId="0" applyFont="1" applyFill="1" applyAlignment="1">
      <alignment horizontal="center" wrapText="1"/>
    </xf>
    <xf numFmtId="0" fontId="0" fillId="0" borderId="0" xfId="0" applyAlignment="1">
      <alignment vertical="top" wrapText="1"/>
    </xf>
    <xf numFmtId="0" fontId="0" fillId="0" borderId="0" xfId="0" applyAlignment="1">
      <alignment horizontal="left" vertical="top" wrapText="1"/>
    </xf>
    <xf numFmtId="0" fontId="24" fillId="2" borderId="0" xfId="0" applyFont="1" applyFill="1" applyAlignment="1">
      <alignment horizontal="center" vertical="center"/>
    </xf>
    <xf numFmtId="0" fontId="25" fillId="2" borderId="0" xfId="0" applyFont="1" applyFill="1" applyAlignment="1">
      <alignment horizontal="center" vertical="center"/>
    </xf>
    <xf numFmtId="0" fontId="3" fillId="0" borderId="0" xfId="0" applyFont="1" applyAlignment="1">
      <alignment horizontal="left" vertical="top" wrapText="1"/>
    </xf>
    <xf numFmtId="0" fontId="31" fillId="0" borderId="0" xfId="0" applyFont="1" applyAlignment="1">
      <alignment horizontal="left" vertical="top" wrapText="1"/>
    </xf>
    <xf numFmtId="0" fontId="25" fillId="2" borderId="0" xfId="4" applyFont="1" applyFill="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23" xfId="4" applyFont="1" applyFill="1" applyBorder="1" applyAlignment="1">
      <alignment horizontal="center"/>
    </xf>
    <xf numFmtId="0" fontId="2" fillId="2" borderId="18" xfId="4" applyFont="1" applyFill="1" applyBorder="1" applyAlignment="1">
      <alignment horizontal="center"/>
    </xf>
    <xf numFmtId="0" fontId="2" fillId="2" borderId="19" xfId="4" applyFont="1" applyFill="1" applyBorder="1" applyAlignment="1">
      <alignment horizontal="center"/>
    </xf>
    <xf numFmtId="0" fontId="2" fillId="2" borderId="22" xfId="4" applyFont="1" applyFill="1" applyBorder="1" applyAlignment="1">
      <alignment horizontal="center"/>
    </xf>
    <xf numFmtId="0" fontId="2" fillId="2" borderId="20" xfId="4" applyFont="1" applyFill="1" applyBorder="1" applyAlignment="1">
      <alignment horizontal="center"/>
    </xf>
    <xf numFmtId="0" fontId="2" fillId="2" borderId="17" xfId="4" applyFont="1" applyFill="1" applyBorder="1" applyAlignment="1">
      <alignment horizontal="center"/>
    </xf>
    <xf numFmtId="0" fontId="32" fillId="2" borderId="0" xfId="0" applyFont="1" applyFill="1" applyAlignment="1">
      <alignment horizontal="center" vertical="center" wrapText="1"/>
    </xf>
    <xf numFmtId="0" fontId="0" fillId="0" borderId="0" xfId="0" applyAlignment="1">
      <alignment horizontal="left" wrapText="1"/>
    </xf>
    <xf numFmtId="0" fontId="3" fillId="4" borderId="21" xfId="0" applyFont="1" applyFill="1" applyBorder="1" applyAlignment="1">
      <alignment horizontal="center"/>
    </xf>
    <xf numFmtId="0" fontId="3" fillId="4" borderId="9" xfId="0" applyFont="1" applyFill="1" applyBorder="1" applyAlignment="1">
      <alignment horizontal="center"/>
    </xf>
    <xf numFmtId="2" fontId="0" fillId="0" borderId="0" xfId="0" applyNumberFormat="1" applyAlignment="1">
      <alignment horizontal="center"/>
    </xf>
    <xf numFmtId="0" fontId="26" fillId="0" borderId="0" xfId="0" applyFont="1" applyAlignment="1">
      <alignment horizontal="left"/>
    </xf>
    <xf numFmtId="174" fontId="0" fillId="0" borderId="0" xfId="0" applyNumberFormat="1" applyAlignment="1">
      <alignment horizontal="center"/>
    </xf>
    <xf numFmtId="0" fontId="0" fillId="0" borderId="0" xfId="0" applyAlignment="1">
      <alignment horizontal="center"/>
    </xf>
    <xf numFmtId="0" fontId="3" fillId="4" borderId="8" xfId="0" applyFont="1" applyFill="1" applyBorder="1" applyAlignment="1">
      <alignment horizontal="center"/>
    </xf>
    <xf numFmtId="0" fontId="0" fillId="0" borderId="0" xfId="0" applyAlignment="1">
      <alignment horizontal="left"/>
    </xf>
    <xf numFmtId="0" fontId="24" fillId="2" borderId="28" xfId="0" applyFont="1" applyFill="1" applyBorder="1" applyAlignment="1">
      <alignment horizontal="center" vertical="center"/>
    </xf>
    <xf numFmtId="0" fontId="24" fillId="2" borderId="16" xfId="0" applyFont="1" applyFill="1" applyBorder="1" applyAlignment="1">
      <alignment horizontal="center" vertical="center"/>
    </xf>
    <xf numFmtId="0" fontId="36" fillId="0" borderId="0" xfId="0" applyFont="1" applyAlignment="1">
      <alignment horizontal="left"/>
    </xf>
    <xf numFmtId="0" fontId="0" fillId="0" borderId="18" xfId="0" applyBorder="1" applyAlignment="1">
      <alignment horizontal="left"/>
    </xf>
  </cellXfs>
  <cellStyles count="5">
    <cellStyle name="Comma" xfId="1" builtinId="3"/>
    <cellStyle name="Currency" xfId="2" builtinId="4"/>
    <cellStyle name="Normal" xfId="0" builtinId="0"/>
    <cellStyle name="Normal 2" xfId="4" xr:uid="{401D05D8-E926-4A63-97BE-2C22C3FE15A6}"/>
    <cellStyle name="Percent" xfId="3" builtinId="5"/>
  </cellStyles>
  <dxfs count="0"/>
  <tableStyles count="0" defaultTableStyle="TableStyleMedium2" defaultPivotStyle="PivotStyleLight16"/>
  <colors>
    <mruColors>
      <color rgb="FFDF4F60"/>
      <color rgb="FFAC1F2F"/>
      <color rgb="FFDB39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Valuation Summary - Equity Value per Share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2506869162441856"/>
          <c:y val="0.18685138539042823"/>
          <c:w val="0.70529681915346332"/>
          <c:h val="0.6962807671711061"/>
        </c:manualLayout>
      </c:layout>
      <c:barChart>
        <c:barDir val="bar"/>
        <c:grouping val="stacked"/>
        <c:varyColors val="0"/>
        <c:ser>
          <c:idx val="0"/>
          <c:order val="0"/>
          <c:spPr>
            <a:solidFill>
              <a:schemeClr val="accent1"/>
            </a:solidFill>
            <a:ln>
              <a:noFill/>
            </a:ln>
            <a:effectLst/>
          </c:spPr>
          <c:invertIfNegative val="0"/>
          <c:cat>
            <c:strRef>
              <c:f>'Valuation Summary'!$B$15:$B$18</c:f>
              <c:strCache>
                <c:ptCount val="4"/>
                <c:pt idx="0">
                  <c:v>Comps</c:v>
                </c:pt>
                <c:pt idx="1">
                  <c:v>Precedents</c:v>
                </c:pt>
                <c:pt idx="2">
                  <c:v>DCF</c:v>
                </c:pt>
                <c:pt idx="3">
                  <c:v>52 wk high/low</c:v>
                </c:pt>
              </c:strCache>
            </c:strRef>
          </c:cat>
          <c:val>
            <c:numRef>
              <c:f>'Valuation Summary'!$C$15:$C$18</c:f>
              <c:numCache>
                <c:formatCode>General</c:formatCode>
                <c:ptCount val="4"/>
              </c:numCache>
            </c:numRef>
          </c:val>
          <c:extLst xmlns:c15="http://schemas.microsoft.com/office/drawing/2012/chart">
            <c:ext xmlns:c16="http://schemas.microsoft.com/office/drawing/2014/chart" uri="{C3380CC4-5D6E-409C-BE32-E72D297353CC}">
              <c16:uniqueId val="{00000000-415B-4ACB-BCEF-CA68A56594C8}"/>
            </c:ext>
          </c:extLst>
        </c:ser>
        <c:ser>
          <c:idx val="1"/>
          <c:order val="1"/>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'Valuation Summary'!$B$15:$B$18</c:f>
              <c:strCache>
                <c:ptCount val="4"/>
                <c:pt idx="0">
                  <c:v>Comps</c:v>
                </c:pt>
                <c:pt idx="1">
                  <c:v>Precedents</c:v>
                </c:pt>
                <c:pt idx="2">
                  <c:v>DCF</c:v>
                </c:pt>
                <c:pt idx="3">
                  <c:v>52 wk high/low</c:v>
                </c:pt>
              </c:strCache>
            </c:strRef>
          </c:cat>
          <c:val>
            <c:numRef>
              <c:f>'Valuation Summary'!$D$15:$D$18</c:f>
              <c:numCache>
                <c:formatCode>_(* #,##0.00_);_(* \(#,##0.00\);_(* "-"??_);_(@_)</c:formatCode>
                <c:ptCount val="4"/>
                <c:pt idx="0">
                  <c:v>13.815050277556495</c:v>
                </c:pt>
                <c:pt idx="1">
                  <c:v>42.67507978723404</c:v>
                </c:pt>
                <c:pt idx="2" formatCode="&quot;$&quot;#,##0.00_);[Red]\(&quot;$&quot;#,##0.00\)">
                  <c:v>13.004441483670117</c:v>
                </c:pt>
                <c:pt idx="3">
                  <c:v>10.54</c:v>
                </c:pt>
              </c:numCache>
            </c:numRef>
          </c:val>
          <c:extLst>
            <c:ext xmlns:c16="http://schemas.microsoft.com/office/drawing/2014/chart" uri="{C3380CC4-5D6E-409C-BE32-E72D297353CC}">
              <c16:uniqueId val="{00000001-415B-4ACB-BCEF-CA68A56594C8}"/>
            </c:ext>
          </c:extLst>
        </c:ser>
        <c:ser>
          <c:idx val="2"/>
          <c:order val="2"/>
          <c:spPr>
            <a:solidFill>
              <a:schemeClr val="accent3"/>
            </a:solidFill>
            <a:ln>
              <a:noFill/>
            </a:ln>
            <a:effectLst/>
          </c:spPr>
          <c:invertIfNegative val="0"/>
          <c:cat>
            <c:strRef>
              <c:f>'Valuation Summary'!$B$15:$B$18</c:f>
              <c:strCache>
                <c:ptCount val="4"/>
                <c:pt idx="0">
                  <c:v>Comps</c:v>
                </c:pt>
                <c:pt idx="1">
                  <c:v>Precedents</c:v>
                </c:pt>
                <c:pt idx="2">
                  <c:v>DCF</c:v>
                </c:pt>
                <c:pt idx="3">
                  <c:v>52 wk high/low</c:v>
                </c:pt>
              </c:strCache>
            </c:strRef>
          </c:cat>
          <c:val>
            <c:numRef>
              <c:f>'Valuation Summary'!$E$15:$E$18</c:f>
              <c:numCache>
                <c:formatCode>_(* #,##0.00_);_(* \(#,##0.00\);_(* "-"??_);_(@_)</c:formatCode>
                <c:ptCount val="4"/>
                <c:pt idx="0">
                  <c:v>41.693105831922686</c:v>
                </c:pt>
                <c:pt idx="1">
                  <c:v>53.418324468085132</c:v>
                </c:pt>
                <c:pt idx="2">
                  <c:v>32.578616658944497</c:v>
                </c:pt>
                <c:pt idx="3">
                  <c:v>10.940000000000001</c:v>
                </c:pt>
              </c:numCache>
            </c:numRef>
          </c:val>
          <c:extLst>
            <c:ext xmlns:c16="http://schemas.microsoft.com/office/drawing/2014/chart" uri="{C3380CC4-5D6E-409C-BE32-E72D297353CC}">
              <c16:uniqueId val="{00000002-415B-4ACB-BCEF-CA68A56594C8}"/>
            </c:ext>
          </c:extLst>
        </c:ser>
        <c:ser>
          <c:idx val="3"/>
          <c:order val="3"/>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'Valuation Summary'!$B$15:$B$18</c:f>
              <c:strCache>
                <c:ptCount val="4"/>
                <c:pt idx="0">
                  <c:v>Comps</c:v>
                </c:pt>
                <c:pt idx="1">
                  <c:v>Precedents</c:v>
                </c:pt>
                <c:pt idx="2">
                  <c:v>DCF</c:v>
                </c:pt>
                <c:pt idx="3">
                  <c:v>52 wk high/low</c:v>
                </c:pt>
              </c:strCache>
            </c:strRef>
          </c:cat>
          <c:val>
            <c:numRef>
              <c:f>'Valuation Summary'!$F$15:$F$18</c:f>
              <c:numCache>
                <c:formatCode>_(* #,##0.00_);_(* \(#,##0.00\);_(* "-"??_);_(@_)</c:formatCode>
                <c:ptCount val="4"/>
                <c:pt idx="0">
                  <c:v>55.508156109479181</c:v>
                </c:pt>
                <c:pt idx="1">
                  <c:v>96.093404255319172</c:v>
                </c:pt>
                <c:pt idx="2" formatCode="&quot;$&quot;#,##0.00_);[Red]\(&quot;$&quot;#,##0.00\)">
                  <c:v>45.583058142614611</c:v>
                </c:pt>
                <c:pt idx="3">
                  <c:v>21.48</c:v>
                </c:pt>
              </c:numCache>
            </c:numRef>
          </c:val>
          <c:extLst>
            <c:ext xmlns:c16="http://schemas.microsoft.com/office/drawing/2014/chart" uri="{C3380CC4-5D6E-409C-BE32-E72D297353CC}">
              <c16:uniqueId val="{00000003-415B-4ACB-BCEF-CA68A56594C8}"/>
            </c:ext>
          </c:extLst>
        </c:ser>
        <c:dLbls>
          <c:showLegendKey val="0"/>
          <c:showVal val="0"/>
          <c:showCatName val="0"/>
          <c:showSerName val="0"/>
          <c:showPercent val="0"/>
          <c:showBubbleSize val="0"/>
        </c:dLbls>
        <c:gapWidth val="150"/>
        <c:overlap val="100"/>
        <c:axId val="1702837296"/>
        <c:axId val="1702848112"/>
        <c:extLst/>
      </c:barChart>
      <c:catAx>
        <c:axId val="17028372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2848112"/>
        <c:crosses val="autoZero"/>
        <c:auto val="1"/>
        <c:lblAlgn val="ctr"/>
        <c:lblOffset val="100"/>
        <c:noMultiLvlLbl val="0"/>
      </c:catAx>
      <c:valAx>
        <c:axId val="1702848112"/>
        <c:scaling>
          <c:orientation val="minMax"/>
          <c:max val="100"/>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28372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Valuation Summary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'Summary - Football Field'!$C$37</c:f>
              <c:strCache>
                <c:ptCount val="1"/>
                <c:pt idx="0">
                  <c:v>Lo</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 Football Field'!$B$38:$B$41</c:f>
              <c:strCache>
                <c:ptCount val="4"/>
                <c:pt idx="0">
                  <c:v>P/E</c:v>
                </c:pt>
                <c:pt idx="1">
                  <c:v>EV/EBITDA</c:v>
                </c:pt>
                <c:pt idx="2">
                  <c:v>52-Week high/low</c:v>
                </c:pt>
                <c:pt idx="3">
                  <c:v>DCF</c:v>
                </c:pt>
              </c:strCache>
            </c:strRef>
          </c:cat>
          <c:val>
            <c:numRef>
              <c:f>'Summary - Football Field'!$C$38:$C$41</c:f>
              <c:numCache>
                <c:formatCode>#,##0.00\x</c:formatCode>
                <c:ptCount val="4"/>
                <c:pt idx="0" formatCode="0.00">
                  <c:v>8.77</c:v>
                </c:pt>
                <c:pt idx="1">
                  <c:v>4.58</c:v>
                </c:pt>
                <c:pt idx="2" formatCode="General">
                  <c:v>10.54</c:v>
                </c:pt>
                <c:pt idx="3" formatCode="&quot;$&quot;#,##0.00_);[Red]\(&quot;$&quot;#,##0.00\)">
                  <c:v>13.004441483670117</c:v>
                </c:pt>
              </c:numCache>
            </c:numRef>
          </c:val>
          <c:extLst>
            <c:ext xmlns:c16="http://schemas.microsoft.com/office/drawing/2014/chart" uri="{C3380CC4-5D6E-409C-BE32-E72D297353CC}">
              <c16:uniqueId val="{00000001-1378-40C6-9B20-7874DAB93EC8}"/>
            </c:ext>
          </c:extLst>
        </c:ser>
        <c:ser>
          <c:idx val="1"/>
          <c:order val="1"/>
          <c:tx>
            <c:strRef>
              <c:f>'Summary - Football Field'!$D$37</c:f>
              <c:strCache>
                <c:ptCount val="1"/>
                <c:pt idx="0">
                  <c:v>Diff</c:v>
                </c:pt>
              </c:strCache>
            </c:strRef>
          </c:tx>
          <c:spPr>
            <a:solidFill>
              <a:srgbClr val="FF0000"/>
            </a:solidFill>
            <a:ln>
              <a:noFill/>
            </a:ln>
            <a:effectLst/>
          </c:spPr>
          <c:invertIfNegative val="0"/>
          <c:cat>
            <c:strRef>
              <c:f>'Summary - Football Field'!$B$38:$B$41</c:f>
              <c:strCache>
                <c:ptCount val="4"/>
                <c:pt idx="0">
                  <c:v>P/E</c:v>
                </c:pt>
                <c:pt idx="1">
                  <c:v>EV/EBITDA</c:v>
                </c:pt>
                <c:pt idx="2">
                  <c:v>52-Week high/low</c:v>
                </c:pt>
                <c:pt idx="3">
                  <c:v>DCF</c:v>
                </c:pt>
              </c:strCache>
            </c:strRef>
          </c:cat>
          <c:val>
            <c:numRef>
              <c:f>'Summary - Football Field'!$D$38:$D$41</c:f>
              <c:numCache>
                <c:formatCode>0.00</c:formatCode>
                <c:ptCount val="4"/>
                <c:pt idx="0">
                  <c:v>27.99</c:v>
                </c:pt>
                <c:pt idx="1">
                  <c:v>21.89</c:v>
                </c:pt>
                <c:pt idx="2">
                  <c:v>10.940000000000001</c:v>
                </c:pt>
                <c:pt idx="3">
                  <c:v>32.578616658944497</c:v>
                </c:pt>
              </c:numCache>
            </c:numRef>
          </c:val>
          <c:extLst>
            <c:ext xmlns:c16="http://schemas.microsoft.com/office/drawing/2014/chart" uri="{C3380CC4-5D6E-409C-BE32-E72D297353CC}">
              <c16:uniqueId val="{00000003-1378-40C6-9B20-7874DAB93EC8}"/>
            </c:ext>
          </c:extLst>
        </c:ser>
        <c:ser>
          <c:idx val="2"/>
          <c:order val="2"/>
          <c:tx>
            <c:strRef>
              <c:f>'Summary - Football Field'!$E$37</c:f>
              <c:strCache>
                <c:ptCount val="1"/>
                <c:pt idx="0">
                  <c:v>Hi</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 Football Field'!$B$38:$B$41</c:f>
              <c:strCache>
                <c:ptCount val="4"/>
                <c:pt idx="0">
                  <c:v>P/E</c:v>
                </c:pt>
                <c:pt idx="1">
                  <c:v>EV/EBITDA</c:v>
                </c:pt>
                <c:pt idx="2">
                  <c:v>52-Week high/low</c:v>
                </c:pt>
                <c:pt idx="3">
                  <c:v>DCF</c:v>
                </c:pt>
              </c:strCache>
            </c:strRef>
          </c:cat>
          <c:val>
            <c:numRef>
              <c:f>'Summary - Football Field'!$E$38:$E$41</c:f>
              <c:numCache>
                <c:formatCode>#,##0.00\x</c:formatCode>
                <c:ptCount val="4"/>
                <c:pt idx="0" formatCode="0.00">
                  <c:v>36.76</c:v>
                </c:pt>
                <c:pt idx="1">
                  <c:v>26.47</c:v>
                </c:pt>
                <c:pt idx="2" formatCode="General">
                  <c:v>21.48</c:v>
                </c:pt>
                <c:pt idx="3" formatCode="&quot;$&quot;#,##0.00_);[Red]\(&quot;$&quot;#,##0.00\)">
                  <c:v>45.583058142614611</c:v>
                </c:pt>
              </c:numCache>
            </c:numRef>
          </c:val>
          <c:extLst>
            <c:ext xmlns:c16="http://schemas.microsoft.com/office/drawing/2014/chart" uri="{C3380CC4-5D6E-409C-BE32-E72D297353CC}">
              <c16:uniqueId val="{00000005-1378-40C6-9B20-7874DAB93EC8}"/>
            </c:ext>
          </c:extLst>
        </c:ser>
        <c:dLbls>
          <c:showLegendKey val="0"/>
          <c:showVal val="0"/>
          <c:showCatName val="0"/>
          <c:showSerName val="0"/>
          <c:showPercent val="0"/>
          <c:showBubbleSize val="0"/>
        </c:dLbls>
        <c:gapWidth val="182"/>
        <c:overlap val="100"/>
        <c:axId val="219555336"/>
        <c:axId val="219557384"/>
      </c:barChart>
      <c:catAx>
        <c:axId val="2195553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9557384"/>
        <c:crosses val="autoZero"/>
        <c:auto val="1"/>
        <c:lblAlgn val="ctr"/>
        <c:lblOffset val="100"/>
        <c:noMultiLvlLbl val="0"/>
      </c:catAx>
      <c:valAx>
        <c:axId val="219557384"/>
        <c:scaling>
          <c:orientation val="minMax"/>
          <c:max val="70"/>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9555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347617</xdr:colOff>
      <xdr:row>20</xdr:row>
      <xdr:rowOff>3630</xdr:rowOff>
    </xdr:from>
    <xdr:to>
      <xdr:col>7</xdr:col>
      <xdr:colOff>72571</xdr:colOff>
      <xdr:row>33</xdr:row>
      <xdr:rowOff>99786</xdr:rowOff>
    </xdr:to>
    <xdr:graphicFrame macro="">
      <xdr:nvGraphicFramePr>
        <xdr:cNvPr id="13" name="Chart 9">
          <a:extLst>
            <a:ext uri="{FF2B5EF4-FFF2-40B4-BE49-F238E27FC236}">
              <a16:creationId xmlns:a16="http://schemas.microsoft.com/office/drawing/2014/main" id="{13B9DC71-2900-413C-83E0-2898115473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0.44437</cdr:x>
      <cdr:y>0.14325</cdr:y>
    </cdr:from>
    <cdr:to>
      <cdr:x>0.44624</cdr:x>
      <cdr:y>0.90798</cdr:y>
    </cdr:to>
    <cdr:cxnSp macro="">
      <cdr:nvCxnSpPr>
        <cdr:cNvPr id="3" name="Straight Connector 2">
          <a:extLst xmlns:a="http://schemas.openxmlformats.org/drawingml/2006/main">
            <a:ext uri="{FF2B5EF4-FFF2-40B4-BE49-F238E27FC236}">
              <a16:creationId xmlns:a16="http://schemas.microsoft.com/office/drawing/2014/main" id="{3C8CB272-F555-4F0D-A3FC-BA90DB2A6EF5}"/>
            </a:ext>
          </a:extLst>
        </cdr:cNvPr>
        <cdr:cNvCxnSpPr/>
      </cdr:nvCxnSpPr>
      <cdr:spPr>
        <a:xfrm xmlns:a="http://schemas.openxmlformats.org/drawingml/2006/main">
          <a:off x="2006178" y="351628"/>
          <a:ext cx="8443" cy="1877204"/>
        </a:xfrm>
        <a:prstGeom xmlns:a="http://schemas.openxmlformats.org/drawingml/2006/main" prst="line">
          <a:avLst/>
        </a:prstGeom>
        <a:ln xmlns:a="http://schemas.openxmlformats.org/drawingml/2006/main" w="12700">
          <a:solidFill>
            <a:srgbClr val="AC1F2F"/>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0.39704</cdr:x>
      <cdr:y>0.15373</cdr:y>
    </cdr:from>
    <cdr:to>
      <cdr:x>0.39891</cdr:x>
      <cdr:y>0.91846</cdr:y>
    </cdr:to>
    <cdr:cxnSp macro="">
      <cdr:nvCxnSpPr>
        <cdr:cNvPr id="4" name="Straight Connector 3">
          <a:extLst xmlns:a="http://schemas.openxmlformats.org/drawingml/2006/main">
            <a:ext uri="{FF2B5EF4-FFF2-40B4-BE49-F238E27FC236}">
              <a16:creationId xmlns:a16="http://schemas.microsoft.com/office/drawing/2014/main" id="{2383F325-771D-407E-85E7-C688AF5CBAEF}"/>
            </a:ext>
          </a:extLst>
        </cdr:cNvPr>
        <cdr:cNvCxnSpPr/>
      </cdr:nvCxnSpPr>
      <cdr:spPr>
        <a:xfrm xmlns:a="http://schemas.openxmlformats.org/drawingml/2006/main">
          <a:off x="1792514" y="377371"/>
          <a:ext cx="8443" cy="1877204"/>
        </a:xfrm>
        <a:prstGeom xmlns:a="http://schemas.openxmlformats.org/drawingml/2006/main" prst="line">
          <a:avLst/>
        </a:prstGeom>
        <a:ln xmlns:a="http://schemas.openxmlformats.org/drawingml/2006/main" w="12700">
          <a:solidFill>
            <a:srgbClr val="AC1F2F"/>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3</xdr:col>
      <xdr:colOff>152400</xdr:colOff>
      <xdr:row>42</xdr:row>
      <xdr:rowOff>161925</xdr:rowOff>
    </xdr:from>
    <xdr:to>
      <xdr:col>8</xdr:col>
      <xdr:colOff>457200</xdr:colOff>
      <xdr:row>56</xdr:row>
      <xdr:rowOff>47625</xdr:rowOff>
    </xdr:to>
    <xdr:graphicFrame macro="">
      <xdr:nvGraphicFramePr>
        <xdr:cNvPr id="2" name="Chart 1">
          <a:extLst>
            <a:ext uri="{FF2B5EF4-FFF2-40B4-BE49-F238E27FC236}">
              <a16:creationId xmlns:a16="http://schemas.microsoft.com/office/drawing/2014/main" id="{B1309818-9C7D-ED48-63E9-906087B6EF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EMILY MAHO HANSEN" id="{75663862-1896-41DD-8ED0-5B19D8E21DD4}" userId="S::u0847943@umail.utah.edu::ed8b4368-2e53-4603-b8b4-ce8f825bd26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3" dT="2024-02-27T19:57:24.27" personId="{75663862-1896-41DD-8ED0-5B19D8E21DD4}" id="{7F918D9C-56D9-4F1E-BA3A-F97A0DE863CB}">
    <text>Combined AP and AE</text>
  </threadedComment>
  <threadedComment ref="B34" dT="2024-02-27T20:13:44.52" personId="{75663862-1896-41DD-8ED0-5B19D8E21DD4}" id="{04388053-C112-4482-B252-B1AC14BFF690}">
    <text>comibed Long Term Lease LiabilitiesDeferred Income TaxesOther Liabilities</text>
  </threadedComment>
</ThreadedComments>
</file>

<file path=xl/threadedComments/threadedComment2.xml><?xml version="1.0" encoding="utf-8"?>
<ThreadedComments xmlns="http://schemas.microsoft.com/office/spreadsheetml/2018/threadedcomments" xmlns:x="http://schemas.openxmlformats.org/spreadsheetml/2006/main">
  <threadedComment ref="B34" dT="2024-02-27T19:57:24.27" personId="{75663862-1896-41DD-8ED0-5B19D8E21DD4}" id="{A627FB83-4533-4AE6-9A18-587105197C43}">
    <text>Combined AP and AE</text>
  </threadedComment>
  <threadedComment ref="B35" dT="2024-02-27T20:13:44.52" personId="{75663862-1896-41DD-8ED0-5B19D8E21DD4}" id="{1CDB325C-2B29-437B-86B1-224F6891A377}">
    <text>comibed Long Term Lease LiabilitiesDeferred Income TaxesOther Liabilities</text>
  </threadedComment>
</ThreadedComments>
</file>

<file path=xl/threadedComments/threadedComment3.xml><?xml version="1.0" encoding="utf-8"?>
<ThreadedComments xmlns="http://schemas.microsoft.com/office/spreadsheetml/2018/threadedcomments" xmlns:x="http://schemas.openxmlformats.org/spreadsheetml/2006/main">
  <threadedComment ref="B34" dT="2024-02-27T19:57:24.27" personId="{75663862-1896-41DD-8ED0-5B19D8E21DD4}" id="{14D6A7D2-9AB1-4F2A-B98B-3870CEB5713D}">
    <text>Combined AP and AE</text>
  </threadedComment>
  <threadedComment ref="B35" dT="2024-02-27T20:13:44.52" personId="{75663862-1896-41DD-8ED0-5B19D8E21DD4}" id="{E04C843C-BF0A-4CE2-99E1-038080402DCB}">
    <text>comibed Long Term Lease LiabilitiesDeferred Income TaxesOther Liabilities</text>
  </threadedComment>
</ThreadedComment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B4826-2D7C-4CDB-823C-5DFC6193DD8C}">
  <sheetPr>
    <tabColor rgb="FFDF4F60"/>
  </sheetPr>
  <dimension ref="B2:O20"/>
  <sheetViews>
    <sheetView showGridLines="0" topLeftCell="A9" workbookViewId="0">
      <selection activeCell="B10" sqref="B10"/>
    </sheetView>
  </sheetViews>
  <sheetFormatPr defaultRowHeight="14.45"/>
  <sheetData>
    <row r="2" spans="2:15">
      <c r="B2" s="319" t="s">
        <v>0</v>
      </c>
      <c r="C2" s="319"/>
      <c r="D2" s="319"/>
      <c r="E2" s="319"/>
      <c r="F2" s="319"/>
      <c r="G2" s="319"/>
      <c r="H2" s="319"/>
      <c r="I2" s="319"/>
      <c r="J2" s="319"/>
      <c r="K2" s="319"/>
      <c r="L2" s="319"/>
      <c r="M2" s="319"/>
      <c r="N2" s="319"/>
      <c r="O2" s="319"/>
    </row>
    <row r="3" spans="2:15">
      <c r="B3" s="319"/>
      <c r="C3" s="319"/>
      <c r="D3" s="319"/>
      <c r="E3" s="319"/>
      <c r="F3" s="319"/>
      <c r="G3" s="319"/>
      <c r="H3" s="319"/>
      <c r="I3" s="319"/>
      <c r="J3" s="319"/>
      <c r="K3" s="319"/>
      <c r="L3" s="319"/>
      <c r="M3" s="319"/>
      <c r="N3" s="319"/>
      <c r="O3" s="319"/>
    </row>
    <row r="5" spans="2:15">
      <c r="B5" s="226" t="s">
        <v>1</v>
      </c>
      <c r="C5" s="225"/>
      <c r="D5" s="225"/>
      <c r="E5" s="225"/>
      <c r="F5" s="225"/>
      <c r="G5" s="225"/>
      <c r="H5" s="225"/>
      <c r="I5" s="225"/>
      <c r="J5" s="225"/>
      <c r="K5" s="225"/>
      <c r="L5" s="225"/>
      <c r="M5" s="225"/>
      <c r="N5" s="225"/>
      <c r="O5" s="225"/>
    </row>
    <row r="7" spans="2:15">
      <c r="B7" s="320" t="s">
        <v>2</v>
      </c>
      <c r="C7" s="320"/>
      <c r="D7" s="320"/>
      <c r="E7" s="320"/>
      <c r="F7" s="320"/>
      <c r="G7" s="320"/>
      <c r="H7" s="320"/>
      <c r="I7" s="320"/>
      <c r="J7" s="320"/>
      <c r="K7" s="320"/>
      <c r="L7" s="320"/>
      <c r="M7" s="320"/>
      <c r="N7" s="320"/>
      <c r="O7" s="320"/>
    </row>
    <row r="8" spans="2:15">
      <c r="B8" s="320"/>
      <c r="C8" s="320"/>
      <c r="D8" s="320"/>
      <c r="E8" s="320"/>
      <c r="F8" s="320"/>
      <c r="G8" s="320"/>
      <c r="H8" s="320"/>
      <c r="I8" s="320"/>
      <c r="J8" s="320"/>
      <c r="K8" s="320"/>
      <c r="L8" s="320"/>
      <c r="M8" s="320"/>
      <c r="N8" s="320"/>
      <c r="O8" s="320"/>
    </row>
    <row r="9" spans="2:15">
      <c r="B9" s="224"/>
      <c r="C9" s="224"/>
      <c r="D9" s="224"/>
      <c r="E9" s="224"/>
      <c r="F9" s="224"/>
      <c r="G9" s="224"/>
      <c r="H9" s="224"/>
      <c r="I9" s="224"/>
      <c r="J9" s="224"/>
      <c r="K9" s="224"/>
      <c r="L9" s="224"/>
      <c r="M9" s="224"/>
      <c r="N9" s="224"/>
      <c r="O9" s="224"/>
    </row>
    <row r="10" spans="2:15" ht="14.45" customHeight="1">
      <c r="B10" s="321" t="s">
        <v>3</v>
      </c>
      <c r="C10" s="321"/>
      <c r="D10" s="321"/>
      <c r="E10" s="321"/>
      <c r="F10" s="321"/>
      <c r="G10" s="321"/>
      <c r="H10" s="321"/>
      <c r="I10" s="321"/>
      <c r="J10" s="321"/>
      <c r="K10" s="321"/>
      <c r="L10" s="321"/>
      <c r="M10" s="321"/>
      <c r="N10" s="321"/>
      <c r="O10" s="321"/>
    </row>
    <row r="11" spans="2:15">
      <c r="B11" s="321"/>
      <c r="C11" s="321"/>
      <c r="D11" s="321"/>
      <c r="E11" s="321"/>
      <c r="F11" s="321"/>
      <c r="G11" s="321"/>
      <c r="H11" s="321"/>
      <c r="I11" s="321"/>
      <c r="J11" s="321"/>
      <c r="K11" s="321"/>
      <c r="L11" s="321"/>
      <c r="M11" s="321"/>
      <c r="N11" s="321"/>
      <c r="O11" s="321"/>
    </row>
    <row r="12" spans="2:15">
      <c r="B12" s="321"/>
      <c r="C12" s="321"/>
      <c r="D12" s="321"/>
      <c r="E12" s="321"/>
      <c r="F12" s="321"/>
      <c r="G12" s="321"/>
      <c r="H12" s="321"/>
      <c r="I12" s="321"/>
      <c r="J12" s="321"/>
      <c r="K12" s="321"/>
      <c r="L12" s="321"/>
      <c r="M12" s="321"/>
      <c r="N12" s="321"/>
      <c r="O12" s="321"/>
    </row>
    <row r="13" spans="2:15">
      <c r="B13" s="223"/>
      <c r="C13" s="223"/>
      <c r="D13" s="223"/>
      <c r="E13" s="223"/>
      <c r="F13" s="223"/>
      <c r="G13" s="223"/>
      <c r="H13" s="223"/>
      <c r="I13" s="223"/>
      <c r="J13" s="223"/>
      <c r="K13" s="223"/>
      <c r="L13" s="223"/>
      <c r="M13" s="223"/>
      <c r="N13" s="223"/>
      <c r="O13" s="223"/>
    </row>
    <row r="14" spans="2:15">
      <c r="B14" t="s">
        <v>4</v>
      </c>
    </row>
    <row r="15" spans="2:15">
      <c r="B15" t="s">
        <v>5</v>
      </c>
    </row>
    <row r="16" spans="2:15">
      <c r="B16" t="s">
        <v>6</v>
      </c>
    </row>
    <row r="18" spans="2:2">
      <c r="B18" t="s">
        <v>7</v>
      </c>
    </row>
    <row r="20" spans="2:2">
      <c r="B20" s="162" t="s">
        <v>8</v>
      </c>
    </row>
  </sheetData>
  <mergeCells count="3">
    <mergeCell ref="B2:O3"/>
    <mergeCell ref="B7:O8"/>
    <mergeCell ref="B10:O1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97398-2E98-457A-A0F5-95AE823AF7AB}">
  <dimension ref="B1:K60"/>
  <sheetViews>
    <sheetView topLeftCell="A9" workbookViewId="0">
      <selection activeCell="F26" sqref="F26"/>
    </sheetView>
  </sheetViews>
  <sheetFormatPr defaultRowHeight="15"/>
  <cols>
    <col min="2" max="2" width="22.42578125" bestFit="1" customWidth="1"/>
    <col min="4" max="4" width="15.5703125" bestFit="1" customWidth="1"/>
    <col min="5" max="5" width="21" bestFit="1" customWidth="1"/>
    <col min="7" max="7" width="18.85546875" bestFit="1" customWidth="1"/>
    <col min="9" max="9" width="10.42578125" bestFit="1" customWidth="1"/>
    <col min="10" max="10" width="13.85546875" bestFit="1" customWidth="1"/>
    <col min="11" max="11" width="12.5703125" bestFit="1" customWidth="1"/>
  </cols>
  <sheetData>
    <row r="1" spans="2:11">
      <c r="B1" s="162" t="s">
        <v>11</v>
      </c>
    </row>
    <row r="2" spans="2:11">
      <c r="B2" s="167"/>
      <c r="C2" s="343" t="s">
        <v>200</v>
      </c>
      <c r="D2" s="337"/>
      <c r="E2" s="337"/>
      <c r="F2" s="337"/>
      <c r="G2" s="337"/>
      <c r="H2" s="338"/>
      <c r="I2" s="343" t="s">
        <v>201</v>
      </c>
      <c r="J2" s="337"/>
      <c r="K2" s="338"/>
    </row>
    <row r="3" spans="2:11" ht="15.75">
      <c r="B3" s="128" t="s">
        <v>203</v>
      </c>
      <c r="C3" s="129" t="s">
        <v>204</v>
      </c>
      <c r="D3" s="129" t="s">
        <v>205</v>
      </c>
      <c r="E3" s="129" t="s">
        <v>206</v>
      </c>
      <c r="F3" s="129" t="s">
        <v>207</v>
      </c>
      <c r="G3" s="129" t="s">
        <v>208</v>
      </c>
      <c r="H3" s="130" t="s">
        <v>209</v>
      </c>
      <c r="I3" s="128" t="s">
        <v>210</v>
      </c>
      <c r="J3" s="129" t="s">
        <v>211</v>
      </c>
      <c r="K3" s="311" t="s">
        <v>168</v>
      </c>
    </row>
    <row r="4" spans="2:11">
      <c r="B4" s="245" t="s">
        <v>216</v>
      </c>
      <c r="C4" s="132"/>
      <c r="D4" s="132"/>
      <c r="E4" s="132"/>
      <c r="F4" s="132"/>
      <c r="G4" s="132"/>
      <c r="H4" s="10"/>
      <c r="I4" s="133"/>
      <c r="J4" s="132"/>
      <c r="K4" s="312"/>
    </row>
    <row r="5" spans="2:11">
      <c r="B5" s="135" t="s">
        <v>217</v>
      </c>
      <c r="C5" s="122">
        <v>18.41</v>
      </c>
      <c r="D5" s="289">
        <v>5.048</v>
      </c>
      <c r="E5" s="290">
        <v>9998</v>
      </c>
      <c r="F5" s="282">
        <v>23866</v>
      </c>
      <c r="G5" s="282">
        <v>2256</v>
      </c>
      <c r="H5" s="285">
        <v>105</v>
      </c>
      <c r="I5" s="125">
        <f>E5/F5</f>
        <v>0.4189223162658175</v>
      </c>
      <c r="J5" s="105">
        <f>E5/G5</f>
        <v>4.4317375886524824</v>
      </c>
      <c r="K5" s="313">
        <v>28.59</v>
      </c>
    </row>
    <row r="6" spans="2:11">
      <c r="B6" s="3" t="s">
        <v>222</v>
      </c>
      <c r="C6" s="123"/>
      <c r="D6" s="279"/>
      <c r="E6" s="280"/>
      <c r="F6" s="283"/>
      <c r="G6" s="283"/>
      <c r="H6" s="286"/>
      <c r="I6" s="125"/>
      <c r="J6" s="105"/>
      <c r="K6" s="314"/>
    </row>
    <row r="7" spans="2:11">
      <c r="B7" s="135" t="s">
        <v>223</v>
      </c>
      <c r="C7" s="124">
        <v>21.32</v>
      </c>
      <c r="D7" s="291">
        <v>3.4609999999999999</v>
      </c>
      <c r="E7" s="281">
        <v>7582</v>
      </c>
      <c r="F7" s="281">
        <v>14592</v>
      </c>
      <c r="G7" s="281">
        <v>1079</v>
      </c>
      <c r="H7" s="287">
        <v>119</v>
      </c>
      <c r="I7" s="125">
        <f>E7/F7</f>
        <v>0.51959978070175439</v>
      </c>
      <c r="J7" s="105">
        <f>E7/G7</f>
        <v>7.0268767377201113</v>
      </c>
      <c r="K7" s="313">
        <v>23.84</v>
      </c>
    </row>
    <row r="8" spans="2:11">
      <c r="B8" s="135" t="s">
        <v>225</v>
      </c>
      <c r="C8" s="124">
        <v>28.04</v>
      </c>
      <c r="D8" s="291">
        <v>3.1040000000000001</v>
      </c>
      <c r="E8" s="281">
        <v>10960</v>
      </c>
      <c r="F8" s="281">
        <v>17539</v>
      </c>
      <c r="G8" s="281">
        <v>900</v>
      </c>
      <c r="H8" s="287">
        <v>-142</v>
      </c>
      <c r="I8" s="125">
        <f>E8/F8</f>
        <v>0.62489309538742233</v>
      </c>
      <c r="J8" s="105">
        <f>E8/G8</f>
        <v>12.177777777777777</v>
      </c>
      <c r="K8" s="313">
        <v>8.77</v>
      </c>
    </row>
    <row r="9" spans="2:11">
      <c r="B9" s="293" t="s">
        <v>227</v>
      </c>
      <c r="C9" s="294">
        <v>145.35</v>
      </c>
      <c r="D9" s="295">
        <v>4.9318</v>
      </c>
      <c r="E9" s="296">
        <v>50193</v>
      </c>
      <c r="F9" s="296">
        <v>20376</v>
      </c>
      <c r="G9" s="296">
        <v>2727</v>
      </c>
      <c r="H9" s="297">
        <v>1874</v>
      </c>
      <c r="I9" s="298">
        <f>E9/F9</f>
        <v>2.4633392226148412</v>
      </c>
      <c r="J9" s="299">
        <f>E9/G9</f>
        <v>18.405940594059405</v>
      </c>
      <c r="K9" s="313">
        <v>36.76</v>
      </c>
    </row>
    <row r="10" spans="2:11">
      <c r="B10" s="135" t="s">
        <v>229</v>
      </c>
      <c r="C10" s="124">
        <v>417.41</v>
      </c>
      <c r="D10" s="291">
        <v>6.7619999999999996</v>
      </c>
      <c r="E10" s="281">
        <v>6370</v>
      </c>
      <c r="F10" s="281">
        <v>6874</v>
      </c>
      <c r="G10" s="281">
        <v>1104</v>
      </c>
      <c r="H10" s="287">
        <v>738.8</v>
      </c>
      <c r="I10" s="125">
        <v>1.5670444733911304</v>
      </c>
      <c r="J10" s="105">
        <f>E10/G10</f>
        <v>5.7699275362318838</v>
      </c>
      <c r="K10" s="313">
        <v>20.04</v>
      </c>
    </row>
    <row r="11" spans="2:11">
      <c r="B11" s="247" t="s">
        <v>216</v>
      </c>
      <c r="C11" s="137">
        <v>151.44</v>
      </c>
      <c r="D11" s="292">
        <v>69.914000000000001</v>
      </c>
      <c r="E11" s="284">
        <v>87547</v>
      </c>
      <c r="F11" s="284">
        <v>106888</v>
      </c>
      <c r="G11" s="284">
        <v>7956</v>
      </c>
      <c r="H11" s="288">
        <v>3632</v>
      </c>
      <c r="I11" s="138">
        <v>0.79297316622883085</v>
      </c>
      <c r="J11" s="139">
        <f>E11/G11</f>
        <v>11.003896430367019</v>
      </c>
      <c r="K11" s="315">
        <v>31.15</v>
      </c>
    </row>
    <row r="13" spans="2:11">
      <c r="B13" t="s">
        <v>261</v>
      </c>
      <c r="I13" s="161"/>
      <c r="J13" s="161"/>
      <c r="K13" s="161">
        <f>MIN(K5:K11)</f>
        <v>8.77</v>
      </c>
    </row>
    <row r="14" spans="2:11">
      <c r="B14" t="s">
        <v>262</v>
      </c>
      <c r="I14" s="161"/>
      <c r="J14" s="161"/>
      <c r="K14" s="161">
        <f>MAX(K5:K11)</f>
        <v>36.76</v>
      </c>
    </row>
    <row r="16" spans="2:11">
      <c r="B16" s="162" t="s">
        <v>31</v>
      </c>
    </row>
    <row r="17" spans="2:11" ht="15.75">
      <c r="B17" s="185" t="s">
        <v>243</v>
      </c>
      <c r="C17" s="184" t="s">
        <v>216</v>
      </c>
      <c r="D17" s="184" t="s">
        <v>244</v>
      </c>
      <c r="E17" s="205" t="s">
        <v>245</v>
      </c>
      <c r="F17" s="205"/>
      <c r="G17" s="184" t="s">
        <v>246</v>
      </c>
      <c r="H17" s="184" t="s">
        <v>99</v>
      </c>
      <c r="I17" s="184" t="s">
        <v>103</v>
      </c>
      <c r="J17" s="184" t="s">
        <v>247</v>
      </c>
      <c r="K17" s="308" t="s">
        <v>211</v>
      </c>
    </row>
    <row r="18" spans="2:11">
      <c r="B18" s="187">
        <v>45349</v>
      </c>
      <c r="C18" t="s">
        <v>248</v>
      </c>
      <c r="D18" t="s">
        <v>249</v>
      </c>
      <c r="E18" s="347" t="s">
        <v>250</v>
      </c>
      <c r="F18" s="347"/>
      <c r="G18" s="188">
        <v>617.79999999999995</v>
      </c>
      <c r="H18" s="188">
        <f>G18/J18</f>
        <v>1544.4999999999998</v>
      </c>
      <c r="I18" s="188">
        <f>G18/K18</f>
        <v>134.89082969432314</v>
      </c>
      <c r="J18" s="189">
        <v>0.4</v>
      </c>
      <c r="K18" s="309">
        <v>4.58</v>
      </c>
    </row>
    <row r="19" spans="2:11">
      <c r="B19" s="187">
        <v>43781</v>
      </c>
      <c r="C19" t="s">
        <v>251</v>
      </c>
      <c r="D19" t="s">
        <v>252</v>
      </c>
      <c r="E19" s="347" t="s">
        <v>253</v>
      </c>
      <c r="F19" s="347"/>
      <c r="G19" s="106">
        <v>45</v>
      </c>
      <c r="H19" s="269">
        <f>G19/J19</f>
        <v>60</v>
      </c>
      <c r="I19" s="269">
        <f>G19/K19</f>
        <v>3.0181086519114686</v>
      </c>
      <c r="J19" s="189">
        <v>0.75</v>
      </c>
      <c r="K19" s="309">
        <v>14.91</v>
      </c>
    </row>
    <row r="20" spans="2:11">
      <c r="B20" s="187">
        <v>44116</v>
      </c>
      <c r="C20" t="s">
        <v>254</v>
      </c>
      <c r="D20" t="s">
        <v>255</v>
      </c>
      <c r="E20" s="344" t="s">
        <v>256</v>
      </c>
      <c r="F20" s="344"/>
      <c r="G20" s="106">
        <v>40</v>
      </c>
      <c r="H20" s="269">
        <f>G20/J20</f>
        <v>25.974025974025974</v>
      </c>
      <c r="I20" s="269">
        <f>G20/K20</f>
        <v>1.511144692104269</v>
      </c>
      <c r="J20" s="189">
        <v>1.54</v>
      </c>
      <c r="K20" s="309">
        <v>26.47</v>
      </c>
    </row>
    <row r="21" spans="2:11">
      <c r="B21" s="302">
        <v>44049</v>
      </c>
      <c r="C21" s="276" t="s">
        <v>257</v>
      </c>
      <c r="D21" s="276" t="s">
        <v>258</v>
      </c>
      <c r="E21" s="348" t="s">
        <v>259</v>
      </c>
      <c r="F21" s="348"/>
      <c r="G21" s="303">
        <v>4000</v>
      </c>
      <c r="H21" s="304">
        <f>G21/J21</f>
        <v>3773.584905660377</v>
      </c>
      <c r="I21" s="304">
        <f>G21/K21</f>
        <v>341.88034188034192</v>
      </c>
      <c r="J21" s="305">
        <v>1.06</v>
      </c>
      <c r="K21" s="310">
        <v>11.7</v>
      </c>
    </row>
    <row r="23" spans="2:11">
      <c r="B23" t="s">
        <v>261</v>
      </c>
      <c r="I23" s="306"/>
      <c r="J23" s="306"/>
      <c r="K23" s="306">
        <f>MIN(K18:K21)</f>
        <v>4.58</v>
      </c>
    </row>
    <row r="24" spans="2:11">
      <c r="B24" t="s">
        <v>262</v>
      </c>
      <c r="I24" s="306"/>
      <c r="J24" s="306"/>
      <c r="K24" s="306">
        <f>MAX(K18:K21)</f>
        <v>26.47</v>
      </c>
    </row>
    <row r="26" spans="2:11">
      <c r="B26" t="s">
        <v>263</v>
      </c>
    </row>
    <row r="28" spans="2:11">
      <c r="B28" t="s">
        <v>261</v>
      </c>
      <c r="K28">
        <v>10.54</v>
      </c>
    </row>
    <row r="29" spans="2:11">
      <c r="B29" t="s">
        <v>262</v>
      </c>
      <c r="K29">
        <v>21.48</v>
      </c>
    </row>
    <row r="31" spans="2:11">
      <c r="B31" t="s">
        <v>44</v>
      </c>
    </row>
    <row r="33" spans="2:11">
      <c r="B33" t="s">
        <v>261</v>
      </c>
      <c r="K33" s="307">
        <f>'DCF Downside '!D81</f>
        <v>13.004441483670117</v>
      </c>
    </row>
    <row r="34" spans="2:11">
      <c r="B34" t="s">
        <v>262</v>
      </c>
      <c r="K34" s="307">
        <f>'DCF Upside'!D81</f>
        <v>45.583058142614611</v>
      </c>
    </row>
    <row r="37" spans="2:11">
      <c r="B37" s="162" t="s">
        <v>264</v>
      </c>
      <c r="C37" t="s">
        <v>261</v>
      </c>
      <c r="D37" t="s">
        <v>265</v>
      </c>
      <c r="E37" t="s">
        <v>262</v>
      </c>
    </row>
    <row r="38" spans="2:11">
      <c r="B38" t="s">
        <v>168</v>
      </c>
      <c r="C38" s="161">
        <f>K13</f>
        <v>8.77</v>
      </c>
      <c r="D38" s="161">
        <f t="shared" ref="D38:D41" si="0">E38-C38</f>
        <v>27.99</v>
      </c>
      <c r="E38" s="161">
        <f>K14</f>
        <v>36.76</v>
      </c>
    </row>
    <row r="39" spans="2:11">
      <c r="B39" t="s">
        <v>240</v>
      </c>
      <c r="C39" s="306">
        <f>K23</f>
        <v>4.58</v>
      </c>
      <c r="D39" s="161">
        <f t="shared" si="0"/>
        <v>21.89</v>
      </c>
      <c r="E39" s="306">
        <f>K24</f>
        <v>26.47</v>
      </c>
    </row>
    <row r="40" spans="2:11">
      <c r="B40" t="s">
        <v>263</v>
      </c>
      <c r="C40">
        <f>K28</f>
        <v>10.54</v>
      </c>
      <c r="D40" s="161">
        <f t="shared" si="0"/>
        <v>10.940000000000001</v>
      </c>
      <c r="E40">
        <f>K29</f>
        <v>21.48</v>
      </c>
    </row>
    <row r="41" spans="2:11">
      <c r="B41" t="s">
        <v>44</v>
      </c>
      <c r="C41" s="307">
        <f>K33</f>
        <v>13.004441483670117</v>
      </c>
      <c r="D41" s="161">
        <f t="shared" si="0"/>
        <v>32.578616658944497</v>
      </c>
      <c r="E41" s="307">
        <f>K34</f>
        <v>45.583058142614611</v>
      </c>
    </row>
    <row r="43" spans="2:11">
      <c r="B43" t="s">
        <v>266</v>
      </c>
    </row>
    <row r="60" spans="5:5">
      <c r="E60" t="s">
        <v>267</v>
      </c>
    </row>
  </sheetData>
  <mergeCells count="6">
    <mergeCell ref="E21:F21"/>
    <mergeCell ref="C2:H2"/>
    <mergeCell ref="I2:K2"/>
    <mergeCell ref="E18:F18"/>
    <mergeCell ref="E19:F19"/>
    <mergeCell ref="E20:F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8D2FA-EC83-4A6F-855D-8C455E4DD01A}">
  <sheetPr>
    <tabColor rgb="FFAC1F2F"/>
  </sheetPr>
  <dimension ref="B2:V33"/>
  <sheetViews>
    <sheetView showGridLines="0" zoomScale="70" zoomScaleNormal="70" workbookViewId="0">
      <selection activeCell="J37" sqref="J37"/>
    </sheetView>
  </sheetViews>
  <sheetFormatPr defaultRowHeight="14.45"/>
  <cols>
    <col min="2" max="2" width="15.28515625" bestFit="1" customWidth="1"/>
    <col min="3" max="3" width="6.5703125" bestFit="1" customWidth="1"/>
    <col min="4" max="4" width="16.5703125" customWidth="1"/>
    <col min="5" max="5" width="10.140625" customWidth="1"/>
    <col min="6" max="6" width="11.5703125" bestFit="1" customWidth="1"/>
    <col min="7" max="7" width="11.85546875" bestFit="1" customWidth="1"/>
    <col min="8" max="8" width="10.42578125" bestFit="1" customWidth="1"/>
    <col min="9" max="9" width="10" customWidth="1"/>
    <col min="10" max="12" width="12.85546875" customWidth="1"/>
    <col min="13" max="13" width="9.42578125" customWidth="1"/>
    <col min="14" max="14" width="11.5703125" bestFit="1" customWidth="1"/>
    <col min="16" max="16" width="10.42578125" bestFit="1" customWidth="1"/>
    <col min="18" max="18" width="11.42578125" customWidth="1"/>
    <col min="21" max="21" width="11.28515625" customWidth="1"/>
    <col min="22" max="22" width="9.85546875" customWidth="1"/>
  </cols>
  <sheetData>
    <row r="2" spans="2:22" ht="14.45" customHeight="1">
      <c r="B2" s="322" t="s">
        <v>9</v>
      </c>
      <c r="C2" s="322"/>
      <c r="D2" s="322"/>
      <c r="E2" s="322"/>
      <c r="F2" s="322"/>
      <c r="G2" s="322"/>
      <c r="H2" s="322"/>
      <c r="I2" s="322"/>
      <c r="J2" s="322"/>
      <c r="K2" s="322"/>
      <c r="L2" s="322"/>
      <c r="M2" s="322"/>
      <c r="N2" s="322"/>
      <c r="O2" s="322"/>
      <c r="P2" s="322"/>
    </row>
    <row r="3" spans="2:22" ht="14.45" customHeight="1">
      <c r="B3" s="322"/>
      <c r="C3" s="322"/>
      <c r="D3" s="322"/>
      <c r="E3" s="322"/>
      <c r="F3" s="322"/>
      <c r="G3" s="322"/>
      <c r="H3" s="322"/>
      <c r="I3" s="322"/>
      <c r="J3" s="322"/>
      <c r="K3" s="322"/>
      <c r="L3" s="322"/>
      <c r="M3" s="322"/>
      <c r="N3" s="322"/>
      <c r="O3" s="322"/>
      <c r="P3" s="322"/>
      <c r="R3" s="162"/>
      <c r="S3" s="162"/>
      <c r="T3" s="162"/>
      <c r="U3" s="162"/>
      <c r="V3" s="162"/>
    </row>
    <row r="4" spans="2:22">
      <c r="T4" s="170"/>
      <c r="U4" s="170"/>
      <c r="V4" s="170"/>
    </row>
    <row r="5" spans="2:22">
      <c r="B5" s="206" t="s">
        <v>10</v>
      </c>
      <c r="C5" s="217"/>
      <c r="D5" s="217"/>
      <c r="E5" s="203"/>
      <c r="F5" s="203"/>
      <c r="G5" s="204"/>
      <c r="J5" s="162" t="s">
        <v>11</v>
      </c>
      <c r="T5" s="170"/>
      <c r="U5" s="170"/>
      <c r="V5" s="170"/>
    </row>
    <row r="6" spans="2:22">
      <c r="B6" s="5" t="s">
        <v>12</v>
      </c>
      <c r="D6" s="242" t="s">
        <v>13</v>
      </c>
      <c r="E6" s="236" t="s">
        <v>14</v>
      </c>
      <c r="F6" s="134"/>
      <c r="G6" s="237">
        <f>Comps!C28</f>
        <v>282</v>
      </c>
      <c r="J6" s="200" t="str">
        <f>Comps!B37</f>
        <v>Metrics</v>
      </c>
      <c r="K6" s="201" t="str">
        <f>Comps!C37</f>
        <v>Comps</v>
      </c>
      <c r="L6" s="201" t="str">
        <f>Comps!D37</f>
        <v>Implied EV</v>
      </c>
      <c r="M6" s="201" t="str">
        <f>Comps!E37</f>
        <v>Net Debt</v>
      </c>
      <c r="N6" s="201" t="str">
        <f>Comps!F37</f>
        <v>Equity Value</v>
      </c>
      <c r="O6" s="201" t="str">
        <f>Comps!G37</f>
        <v>Shares</v>
      </c>
      <c r="P6" s="202" t="str">
        <f>Comps!H37</f>
        <v>Share Price</v>
      </c>
      <c r="T6" s="170"/>
      <c r="U6" s="170"/>
      <c r="V6" s="170"/>
    </row>
    <row r="7" spans="2:22">
      <c r="B7" s="5" t="s">
        <v>15</v>
      </c>
      <c r="D7" s="242" t="s">
        <v>16</v>
      </c>
      <c r="E7" s="5" t="s">
        <v>17</v>
      </c>
      <c r="G7" s="164">
        <f>Comps!C29</f>
        <v>7923</v>
      </c>
      <c r="J7" s="5" t="s">
        <v>18</v>
      </c>
      <c r="K7" s="168">
        <f>Comps!C45</f>
        <v>10.87688381523124</v>
      </c>
      <c r="L7" s="169">
        <f>Comps!D45</f>
        <v>24538.249887161677</v>
      </c>
      <c r="M7" s="116">
        <f>Comps!$E$39</f>
        <v>7061</v>
      </c>
      <c r="N7" s="169">
        <f>Comps!F45</f>
        <v>17477.249887161677</v>
      </c>
      <c r="O7" s="116">
        <f>Comps!$C$28</f>
        <v>282</v>
      </c>
      <c r="P7" s="177">
        <f>Comps!H45</f>
        <v>61.97606342965134</v>
      </c>
      <c r="T7" s="170"/>
      <c r="U7" s="170"/>
      <c r="V7" s="170"/>
    </row>
    <row r="8" spans="2:22">
      <c r="B8" s="5" t="s">
        <v>19</v>
      </c>
      <c r="D8" s="243">
        <v>18.989999999999998</v>
      </c>
      <c r="E8" s="5" t="s">
        <v>20</v>
      </c>
      <c r="G8" s="164">
        <f>Comps!C30</f>
        <v>862</v>
      </c>
      <c r="J8" s="5" t="s">
        <v>21</v>
      </c>
      <c r="K8" s="168">
        <f>Comps!C41</f>
        <v>1.1935699476647958</v>
      </c>
      <c r="L8" s="169">
        <f>Comps!D41</f>
        <v>28485.740370968018</v>
      </c>
      <c r="M8" s="116">
        <f>Comps!$E$39</f>
        <v>7061</v>
      </c>
      <c r="N8" s="169">
        <f>Comps!F41</f>
        <v>21424.740370968018</v>
      </c>
      <c r="O8" s="116">
        <f>Comps!$C$28</f>
        <v>282</v>
      </c>
      <c r="P8" s="177">
        <f>Comps!H41</f>
        <v>75.974256634638365</v>
      </c>
    </row>
    <row r="9" spans="2:22">
      <c r="B9" s="5" t="s">
        <v>22</v>
      </c>
      <c r="D9" s="244">
        <v>45343</v>
      </c>
      <c r="E9" s="5" t="s">
        <v>23</v>
      </c>
      <c r="G9" s="164">
        <f>Comps!C31</f>
        <v>23866</v>
      </c>
      <c r="J9" s="7" t="s">
        <v>24</v>
      </c>
      <c r="K9" s="178">
        <f>Comps!C49</f>
        <v>24.112000000000002</v>
      </c>
      <c r="L9" s="179">
        <f>Comps!D49</f>
        <v>2531.7600000000002</v>
      </c>
      <c r="M9" s="180">
        <f>Comps!$E$39</f>
        <v>7061</v>
      </c>
      <c r="N9" s="179">
        <f>Comps!F49</f>
        <v>-4529.24</v>
      </c>
      <c r="O9" s="180">
        <f>Comps!$C$28</f>
        <v>282</v>
      </c>
      <c r="P9" s="181">
        <f>Comps!H49</f>
        <v>-16.06113475177305</v>
      </c>
    </row>
    <row r="10" spans="2:22">
      <c r="B10" s="5" t="s">
        <v>25</v>
      </c>
      <c r="D10" s="242" t="s">
        <v>26</v>
      </c>
      <c r="E10" s="5" t="s">
        <v>27</v>
      </c>
      <c r="G10" s="164">
        <f>Comps!C32</f>
        <v>2256</v>
      </c>
    </row>
    <row r="11" spans="2:22" ht="45.75">
      <c r="B11" s="318" t="s">
        <v>28</v>
      </c>
      <c r="C11" s="99"/>
      <c r="D11" s="278" t="s">
        <v>29</v>
      </c>
      <c r="E11" s="7" t="s">
        <v>30</v>
      </c>
      <c r="F11" s="99"/>
      <c r="G11" s="165">
        <f>Comps!C33</f>
        <v>105</v>
      </c>
      <c r="J11" s="162" t="s">
        <v>31</v>
      </c>
    </row>
    <row r="12" spans="2:22">
      <c r="J12" s="200" t="s">
        <v>32</v>
      </c>
      <c r="K12" s="201" t="s">
        <v>11</v>
      </c>
      <c r="L12" s="201" t="s">
        <v>33</v>
      </c>
      <c r="M12" s="201" t="s">
        <v>34</v>
      </c>
      <c r="N12" s="201" t="s">
        <v>35</v>
      </c>
      <c r="O12" s="201" t="s">
        <v>36</v>
      </c>
      <c r="P12" s="202" t="s">
        <v>37</v>
      </c>
    </row>
    <row r="13" spans="2:22">
      <c r="B13" s="162" t="s">
        <v>38</v>
      </c>
      <c r="J13" s="5" t="s">
        <v>18</v>
      </c>
      <c r="K13" s="168">
        <f>Precedents!H28</f>
        <v>90.280992907801405</v>
      </c>
      <c r="L13" s="169">
        <f>Precedents!D28</f>
        <v>32520.239999999998</v>
      </c>
      <c r="M13" s="116">
        <f>$G$7-$G$8</f>
        <v>7061</v>
      </c>
      <c r="N13" s="169">
        <f>L13-M13</f>
        <v>25459.239999999998</v>
      </c>
      <c r="O13" s="116">
        <f>$G$6</f>
        <v>282</v>
      </c>
      <c r="P13" s="177">
        <f>N13/O13</f>
        <v>90.280992907801405</v>
      </c>
    </row>
    <row r="14" spans="2:22">
      <c r="B14" s="206"/>
      <c r="C14" s="217"/>
      <c r="D14" s="217" t="s">
        <v>39</v>
      </c>
      <c r="E14" s="217" t="s">
        <v>40</v>
      </c>
      <c r="F14" s="217" t="s">
        <v>41</v>
      </c>
      <c r="G14" s="207"/>
      <c r="J14" s="7" t="s">
        <v>21</v>
      </c>
      <c r="K14" s="178">
        <f>Precedents!H24</f>
        <v>54.302748226950357</v>
      </c>
      <c r="L14" s="179">
        <f>Precedents!D24</f>
        <v>22374.375</v>
      </c>
      <c r="M14" s="180">
        <f>$G$7-$G$8</f>
        <v>7061</v>
      </c>
      <c r="N14" s="179">
        <f>L14-M14</f>
        <v>15313.375</v>
      </c>
      <c r="O14" s="180">
        <f>$G$6</f>
        <v>282</v>
      </c>
      <c r="P14" s="181">
        <f>N14/O14</f>
        <v>54.302748226950357</v>
      </c>
    </row>
    <row r="15" spans="2:22">
      <c r="B15" s="5" t="s">
        <v>11</v>
      </c>
      <c r="D15" s="170">
        <f>Comps!C52</f>
        <v>13.815050277556495</v>
      </c>
      <c r="E15" s="170">
        <f>F15-D15</f>
        <v>41.693105831922686</v>
      </c>
      <c r="F15" s="170">
        <f>Comps!$C$53</f>
        <v>55.508156109479181</v>
      </c>
      <c r="G15" s="177"/>
      <c r="K15" s="168"/>
      <c r="L15" s="169"/>
      <c r="M15" s="116"/>
      <c r="N15" s="169"/>
      <c r="O15" s="116"/>
      <c r="P15" s="170"/>
    </row>
    <row r="16" spans="2:22">
      <c r="B16" s="5" t="s">
        <v>31</v>
      </c>
      <c r="D16" s="170">
        <f>Precedents!F32</f>
        <v>42.67507978723404</v>
      </c>
      <c r="E16" s="170">
        <f t="shared" ref="E16:E18" si="0">F16-D16</f>
        <v>53.418324468085132</v>
      </c>
      <c r="F16" s="170">
        <f>Precedents!$F$33</f>
        <v>96.093404255319172</v>
      </c>
      <c r="G16" s="177"/>
      <c r="J16" s="162" t="s">
        <v>42</v>
      </c>
      <c r="L16" s="162" t="s">
        <v>43</v>
      </c>
    </row>
    <row r="17" spans="2:14">
      <c r="B17" s="5" t="s">
        <v>44</v>
      </c>
      <c r="D17" s="307">
        <f>'DCF Downside '!D81</f>
        <v>13.004441483670117</v>
      </c>
      <c r="E17" s="170">
        <f t="shared" si="0"/>
        <v>32.578616658944497</v>
      </c>
      <c r="F17" s="307">
        <f>'DCF Upside'!D81</f>
        <v>45.583058142614611</v>
      </c>
      <c r="G17" s="177"/>
      <c r="J17" s="182" t="s">
        <v>45</v>
      </c>
      <c r="K17" s="213"/>
      <c r="L17" s="213" t="s">
        <v>46</v>
      </c>
      <c r="M17" s="213" t="s">
        <v>47</v>
      </c>
      <c r="N17" s="183" t="s">
        <v>48</v>
      </c>
    </row>
    <row r="18" spans="2:14">
      <c r="B18" s="7" t="s">
        <v>49</v>
      </c>
      <c r="C18" s="99"/>
      <c r="D18" s="216">
        <f>'Summary - Football Field'!K28</f>
        <v>10.54</v>
      </c>
      <c r="E18" s="216">
        <f t="shared" si="0"/>
        <v>10.940000000000001</v>
      </c>
      <c r="F18" s="216">
        <f>'Summary - Football Field'!K29</f>
        <v>21.48</v>
      </c>
      <c r="G18" s="181"/>
      <c r="J18" s="7" t="s">
        <v>50</v>
      </c>
      <c r="K18" s="99"/>
      <c r="L18" s="214">
        <f>'DCF Base'!D81</f>
        <v>17.365060128281165</v>
      </c>
      <c r="M18" s="214">
        <f>'DCF Downside '!D81</f>
        <v>13.004441483670117</v>
      </c>
      <c r="N18" s="215">
        <f>'DCF Upside'!D81</f>
        <v>45.583058142614611</v>
      </c>
    </row>
    <row r="21" spans="2:14">
      <c r="J21" s="206" t="s">
        <v>51</v>
      </c>
      <c r="K21" s="217"/>
      <c r="L21" s="207"/>
    </row>
    <row r="22" spans="2:14">
      <c r="J22" s="5" t="s">
        <v>52</v>
      </c>
      <c r="L22" s="14">
        <f>L18</f>
        <v>17.365060128281165</v>
      </c>
      <c r="N22" s="307">
        <f>L18-L23/L18</f>
        <v>15.025319975505363</v>
      </c>
    </row>
    <row r="23" spans="2:14">
      <c r="J23" s="5" t="s">
        <v>53</v>
      </c>
      <c r="L23" s="14">
        <f>Comps!C54</f>
        <v>40.629728437505555</v>
      </c>
    </row>
    <row r="24" spans="2:14">
      <c r="J24" s="7" t="s">
        <v>54</v>
      </c>
      <c r="K24" s="99"/>
      <c r="L24" s="15">
        <f>Precedents!F34</f>
        <v>72.291870567375881</v>
      </c>
    </row>
    <row r="26" spans="2:14">
      <c r="J26" s="9" t="s">
        <v>55</v>
      </c>
      <c r="K26" s="134"/>
      <c r="L26" s="10"/>
    </row>
    <row r="27" spans="2:14">
      <c r="J27" s="5" t="s">
        <v>42</v>
      </c>
      <c r="L27" s="219">
        <v>0.3</v>
      </c>
    </row>
    <row r="28" spans="2:14">
      <c r="J28" s="5" t="s">
        <v>56</v>
      </c>
      <c r="L28" s="219">
        <v>0.4</v>
      </c>
    </row>
    <row r="29" spans="2:14">
      <c r="J29" s="7" t="s">
        <v>54</v>
      </c>
      <c r="K29" s="99"/>
      <c r="L29" s="220">
        <v>0.3</v>
      </c>
    </row>
    <row r="31" spans="2:14">
      <c r="J31" s="206" t="s">
        <v>57</v>
      </c>
      <c r="K31" s="217"/>
      <c r="L31" s="218">
        <f>L22*L27+L23*L28+L24*L29</f>
        <v>43.148970583699338</v>
      </c>
    </row>
    <row r="33" spans="10:12">
      <c r="J33" s="206" t="s">
        <v>58</v>
      </c>
      <c r="K33" s="217"/>
      <c r="L33" s="218">
        <f>D8</f>
        <v>18.989999999999998</v>
      </c>
    </row>
  </sheetData>
  <mergeCells count="1">
    <mergeCell ref="B2:P3"/>
  </mergeCells>
  <pageMargins left="0.7" right="0.7" top="0.75" bottom="0.75" header="0.3" footer="0.3"/>
  <pageSetup orientation="landscape"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85F34-BB0F-4DCF-8CEA-F337FFF685F6}">
  <sheetPr>
    <tabColor theme="5" tint="-0.249977111117893"/>
  </sheetPr>
  <dimension ref="B2:O96"/>
  <sheetViews>
    <sheetView showGridLines="0" topLeftCell="B44" zoomScale="80" zoomScaleNormal="80" workbookViewId="0">
      <selection activeCell="B44" sqref="B44"/>
    </sheetView>
  </sheetViews>
  <sheetFormatPr defaultRowHeight="14.45"/>
  <sheetData>
    <row r="2" spans="2:15">
      <c r="B2" s="323" t="s">
        <v>59</v>
      </c>
      <c r="C2" s="323"/>
      <c r="D2" s="323"/>
      <c r="E2" s="323"/>
      <c r="F2" s="323"/>
      <c r="G2" s="323"/>
      <c r="H2" s="323"/>
      <c r="I2" s="323"/>
      <c r="J2" s="323"/>
      <c r="K2" s="323"/>
      <c r="L2" s="323"/>
      <c r="M2" s="323"/>
      <c r="N2" s="323"/>
      <c r="O2" s="323"/>
    </row>
    <row r="3" spans="2:15">
      <c r="B3" s="323"/>
      <c r="C3" s="323"/>
      <c r="D3" s="323"/>
      <c r="E3" s="323"/>
      <c r="F3" s="323"/>
      <c r="G3" s="323"/>
      <c r="H3" s="323"/>
      <c r="I3" s="323"/>
      <c r="J3" s="323"/>
      <c r="K3" s="323"/>
      <c r="L3" s="323"/>
      <c r="M3" s="323"/>
      <c r="N3" s="323"/>
      <c r="O3" s="323"/>
    </row>
    <row r="5" spans="2:15">
      <c r="B5" s="226" t="s">
        <v>1</v>
      </c>
      <c r="C5" s="225"/>
      <c r="D5" s="225"/>
      <c r="E5" s="225"/>
      <c r="F5" s="225"/>
      <c r="G5" s="225"/>
      <c r="H5" s="225"/>
      <c r="I5" s="225"/>
      <c r="J5" s="225"/>
      <c r="K5" s="225"/>
      <c r="L5" s="225"/>
      <c r="M5" s="225"/>
      <c r="N5" s="225"/>
      <c r="O5" s="225"/>
    </row>
    <row r="6" spans="2:15">
      <c r="B6" t="s">
        <v>60</v>
      </c>
    </row>
    <row r="7" spans="2:15">
      <c r="B7" s="162"/>
    </row>
    <row r="8" spans="2:15">
      <c r="B8" s="321" t="s">
        <v>61</v>
      </c>
      <c r="C8" s="321"/>
      <c r="D8" s="321"/>
      <c r="E8" s="321"/>
      <c r="F8" s="321"/>
      <c r="G8" s="321"/>
      <c r="H8" s="321"/>
      <c r="I8" s="321"/>
      <c r="J8" s="321"/>
      <c r="K8" s="321"/>
      <c r="L8" s="321"/>
      <c r="M8" s="321"/>
      <c r="N8" s="321"/>
      <c r="O8" s="321"/>
    </row>
    <row r="9" spans="2:15">
      <c r="B9" s="321"/>
      <c r="C9" s="321"/>
      <c r="D9" s="321"/>
      <c r="E9" s="321"/>
      <c r="F9" s="321"/>
      <c r="G9" s="321"/>
      <c r="H9" s="321"/>
      <c r="I9" s="321"/>
      <c r="J9" s="321"/>
      <c r="K9" s="321"/>
      <c r="L9" s="321"/>
      <c r="M9" s="321"/>
      <c r="N9" s="321"/>
      <c r="O9" s="321"/>
    </row>
    <row r="11" spans="2:15">
      <c r="B11" s="321" t="s">
        <v>62</v>
      </c>
      <c r="C11" s="321"/>
      <c r="D11" s="321"/>
      <c r="E11" s="321"/>
      <c r="F11" s="321"/>
      <c r="G11" s="321"/>
      <c r="H11" s="321"/>
      <c r="I11" s="321"/>
      <c r="J11" s="321"/>
      <c r="K11" s="321"/>
      <c r="L11" s="321"/>
      <c r="M11" s="321"/>
      <c r="N11" s="321"/>
      <c r="O11" s="321"/>
    </row>
    <row r="12" spans="2:15">
      <c r="B12" s="321"/>
      <c r="C12" s="321"/>
      <c r="D12" s="321"/>
      <c r="E12" s="321"/>
      <c r="F12" s="321"/>
      <c r="G12" s="321"/>
      <c r="H12" s="321"/>
      <c r="I12" s="321"/>
      <c r="J12" s="321"/>
      <c r="K12" s="321"/>
      <c r="L12" s="321"/>
      <c r="M12" s="321"/>
      <c r="N12" s="321"/>
      <c r="O12" s="321"/>
    </row>
    <row r="14" spans="2:15">
      <c r="B14" s="321" t="s">
        <v>63</v>
      </c>
      <c r="C14" s="321"/>
      <c r="D14" s="321"/>
      <c r="E14" s="321"/>
      <c r="F14" s="321"/>
      <c r="G14" s="321"/>
      <c r="H14" s="321"/>
      <c r="I14" s="321"/>
      <c r="J14" s="321"/>
      <c r="K14" s="321"/>
      <c r="L14" s="321"/>
      <c r="M14" s="321"/>
      <c r="N14" s="321"/>
      <c r="O14" s="321"/>
    </row>
    <row r="15" spans="2:15">
      <c r="B15" s="321"/>
      <c r="C15" s="321"/>
      <c r="D15" s="321"/>
      <c r="E15" s="321"/>
      <c r="F15" s="321"/>
      <c r="G15" s="321"/>
      <c r="H15" s="321"/>
      <c r="I15" s="321"/>
      <c r="J15" s="321"/>
      <c r="K15" s="321"/>
      <c r="L15" s="321"/>
      <c r="M15" s="321"/>
      <c r="N15" s="321"/>
      <c r="O15" s="321"/>
    </row>
    <row r="16" spans="2:15">
      <c r="B16" t="s">
        <v>64</v>
      </c>
      <c r="C16" s="223"/>
      <c r="D16" s="223"/>
      <c r="E16" s="223"/>
      <c r="F16" s="223"/>
      <c r="G16" s="223"/>
      <c r="H16" s="223"/>
      <c r="I16" s="223"/>
      <c r="J16" s="223"/>
      <c r="K16" s="223"/>
      <c r="L16" s="223"/>
      <c r="M16" s="223"/>
      <c r="N16" s="223"/>
      <c r="O16" s="223"/>
    </row>
    <row r="17" spans="2:15">
      <c r="C17" s="223"/>
      <c r="D17" s="223"/>
      <c r="E17" s="223"/>
      <c r="F17" s="223"/>
      <c r="G17" s="223"/>
      <c r="H17" s="223"/>
      <c r="I17" s="223"/>
      <c r="J17" s="223"/>
      <c r="K17" s="223"/>
      <c r="L17" s="223"/>
      <c r="M17" s="223"/>
      <c r="N17" s="223"/>
      <c r="O17" s="223"/>
    </row>
    <row r="18" spans="2:15">
      <c r="B18" t="s">
        <v>65</v>
      </c>
      <c r="C18" s="223"/>
      <c r="D18" s="223"/>
      <c r="E18" s="223"/>
      <c r="F18" s="223"/>
      <c r="G18" s="223"/>
      <c r="H18" s="223"/>
      <c r="I18" s="223"/>
      <c r="J18" s="223"/>
      <c r="K18" s="223"/>
      <c r="L18" s="223"/>
      <c r="M18" s="223"/>
      <c r="N18" s="223"/>
      <c r="O18" s="223"/>
    </row>
    <row r="19" spans="2:15">
      <c r="B19" t="s">
        <v>66</v>
      </c>
    </row>
    <row r="21" spans="2:15">
      <c r="B21" s="226" t="s">
        <v>67</v>
      </c>
      <c r="C21" s="226"/>
      <c r="D21" s="226"/>
      <c r="E21" s="226"/>
      <c r="F21" s="226"/>
      <c r="G21" s="226"/>
      <c r="H21" s="226"/>
      <c r="I21" s="226"/>
      <c r="J21" s="226"/>
      <c r="K21" s="226"/>
      <c r="L21" s="226"/>
      <c r="M21" s="226"/>
      <c r="N21" s="226"/>
      <c r="O21" s="226"/>
    </row>
    <row r="22" spans="2:15">
      <c r="B22" t="s">
        <v>68</v>
      </c>
    </row>
    <row r="24" spans="2:15">
      <c r="B24" s="226" t="s">
        <v>69</v>
      </c>
      <c r="C24" s="226"/>
      <c r="D24" s="226"/>
      <c r="E24" s="226"/>
      <c r="F24" s="226"/>
      <c r="G24" s="226"/>
      <c r="H24" s="226"/>
      <c r="I24" s="226"/>
      <c r="J24" s="226"/>
      <c r="K24" s="226"/>
      <c r="L24" s="226"/>
      <c r="M24" s="226"/>
      <c r="N24" s="226"/>
      <c r="O24" s="226"/>
    </row>
    <row r="25" spans="2:15" ht="14.45" customHeight="1">
      <c r="B25" s="321" t="s">
        <v>70</v>
      </c>
      <c r="C25" s="321"/>
      <c r="D25" s="321"/>
      <c r="E25" s="321"/>
      <c r="F25" s="321"/>
      <c r="G25" s="321"/>
      <c r="H25" s="321"/>
      <c r="I25" s="321"/>
      <c r="J25" s="321"/>
      <c r="K25" s="321"/>
      <c r="L25" s="321"/>
      <c r="M25" s="321"/>
      <c r="N25" s="321"/>
      <c r="O25" s="321"/>
    </row>
    <row r="26" spans="2:15">
      <c r="B26" s="321"/>
      <c r="C26" s="321"/>
      <c r="D26" s="321"/>
      <c r="E26" s="321"/>
      <c r="F26" s="321"/>
      <c r="G26" s="321"/>
      <c r="H26" s="321"/>
      <c r="I26" s="321"/>
      <c r="J26" s="321"/>
      <c r="K26" s="321"/>
      <c r="L26" s="321"/>
      <c r="M26" s="321"/>
      <c r="N26" s="321"/>
      <c r="O26" s="321"/>
    </row>
    <row r="27" spans="2:15">
      <c r="B27" s="321"/>
      <c r="C27" s="321"/>
      <c r="D27" s="321"/>
      <c r="E27" s="321"/>
      <c r="F27" s="321"/>
      <c r="G27" s="321"/>
      <c r="H27" s="321"/>
      <c r="I27" s="321"/>
      <c r="J27" s="321"/>
      <c r="K27" s="321"/>
      <c r="L27" s="321"/>
      <c r="M27" s="321"/>
      <c r="N27" s="321"/>
      <c r="O27" s="321"/>
    </row>
    <row r="28" spans="2:15">
      <c r="B28" s="223"/>
      <c r="C28" s="223"/>
      <c r="D28" s="223"/>
      <c r="E28" s="223"/>
      <c r="F28" s="223"/>
      <c r="G28" s="223"/>
      <c r="H28" s="223"/>
      <c r="I28" s="223"/>
      <c r="J28" s="223"/>
      <c r="K28" s="223"/>
      <c r="L28" s="223"/>
      <c r="M28" s="223"/>
      <c r="N28" s="223"/>
      <c r="O28" s="223"/>
    </row>
    <row r="29" spans="2:15">
      <c r="B29" s="226" t="s">
        <v>71</v>
      </c>
      <c r="C29" s="226"/>
      <c r="D29" s="226"/>
      <c r="E29" s="226"/>
      <c r="F29" s="226"/>
      <c r="G29" s="226"/>
      <c r="H29" s="226"/>
      <c r="I29" s="226"/>
      <c r="J29" s="226"/>
      <c r="K29" s="226"/>
      <c r="L29" s="226"/>
      <c r="M29" s="226"/>
      <c r="N29" s="226"/>
      <c r="O29" s="226"/>
    </row>
    <row r="30" spans="2:15">
      <c r="B30" s="321" t="s">
        <v>72</v>
      </c>
      <c r="C30" s="321"/>
      <c r="D30" s="321"/>
      <c r="E30" s="321"/>
      <c r="F30" s="321"/>
      <c r="G30" s="321"/>
      <c r="H30" s="321"/>
      <c r="I30" s="321"/>
      <c r="J30" s="321"/>
      <c r="K30" s="321"/>
      <c r="L30" s="321"/>
      <c r="M30" s="321"/>
      <c r="N30" s="321"/>
      <c r="O30" s="321"/>
    </row>
    <row r="31" spans="2:15">
      <c r="B31" s="321"/>
      <c r="C31" s="321"/>
      <c r="D31" s="321"/>
      <c r="E31" s="321"/>
      <c r="F31" s="321"/>
      <c r="G31" s="321"/>
      <c r="H31" s="321"/>
      <c r="I31" s="321"/>
      <c r="J31" s="321"/>
      <c r="K31" s="321"/>
      <c r="L31" s="321"/>
      <c r="M31" s="321"/>
      <c r="N31" s="321"/>
      <c r="O31" s="321"/>
    </row>
    <row r="32" spans="2:15">
      <c r="B32" s="321"/>
      <c r="C32" s="321"/>
      <c r="D32" s="321"/>
      <c r="E32" s="321"/>
      <c r="F32" s="321"/>
      <c r="G32" s="321"/>
      <c r="H32" s="321"/>
      <c r="I32" s="321"/>
      <c r="J32" s="321"/>
      <c r="K32" s="321"/>
      <c r="L32" s="321"/>
      <c r="M32" s="321"/>
      <c r="N32" s="321"/>
      <c r="O32" s="321"/>
    </row>
    <row r="33" spans="2:15">
      <c r="B33" s="223"/>
      <c r="C33" s="223"/>
      <c r="D33" s="223"/>
      <c r="E33" s="223"/>
      <c r="F33" s="223"/>
      <c r="G33" s="223"/>
      <c r="H33" s="223"/>
      <c r="I33" s="223"/>
      <c r="J33" s="223"/>
      <c r="K33" s="223"/>
      <c r="L33" s="223"/>
      <c r="M33" s="223"/>
      <c r="N33" s="223"/>
      <c r="O33" s="223"/>
    </row>
    <row r="34" spans="2:15">
      <c r="B34" s="162" t="s">
        <v>46</v>
      </c>
    </row>
    <row r="35" spans="2:15" ht="14.45" customHeight="1">
      <c r="B35" s="321" t="s">
        <v>73</v>
      </c>
      <c r="C35" s="321"/>
      <c r="D35" s="321"/>
      <c r="E35" s="321"/>
      <c r="F35" s="321"/>
      <c r="G35" s="321"/>
      <c r="H35" s="321"/>
      <c r="I35" s="321"/>
      <c r="J35" s="321"/>
      <c r="K35" s="321"/>
      <c r="L35" s="321"/>
      <c r="M35" s="321"/>
      <c r="N35" s="321"/>
      <c r="O35" s="321"/>
    </row>
    <row r="36" spans="2:15">
      <c r="B36" s="321"/>
      <c r="C36" s="321"/>
      <c r="D36" s="321"/>
      <c r="E36" s="321"/>
      <c r="F36" s="321"/>
      <c r="G36" s="321"/>
      <c r="H36" s="321"/>
      <c r="I36" s="321"/>
      <c r="J36" s="321"/>
      <c r="K36" s="321"/>
      <c r="L36" s="321"/>
      <c r="M36" s="321"/>
      <c r="N36" s="321"/>
      <c r="O36" s="321"/>
    </row>
    <row r="37" spans="2:15">
      <c r="B37" s="321"/>
      <c r="C37" s="321"/>
      <c r="D37" s="321"/>
      <c r="E37" s="321"/>
      <c r="F37" s="321"/>
      <c r="G37" s="321"/>
      <c r="H37" s="321"/>
      <c r="I37" s="321"/>
      <c r="J37" s="321"/>
      <c r="K37" s="321"/>
      <c r="L37" s="321"/>
      <c r="M37" s="321"/>
      <c r="N37" s="321"/>
      <c r="O37" s="321"/>
    </row>
    <row r="39" spans="2:15">
      <c r="B39" s="162" t="s">
        <v>47</v>
      </c>
    </row>
    <row r="40" spans="2:15" ht="14.45" customHeight="1">
      <c r="B40" s="321" t="s">
        <v>74</v>
      </c>
      <c r="C40" s="321"/>
      <c r="D40" s="321"/>
      <c r="E40" s="321"/>
      <c r="F40" s="321"/>
      <c r="G40" s="321"/>
      <c r="H40" s="321"/>
      <c r="I40" s="321"/>
      <c r="J40" s="321"/>
      <c r="K40" s="321"/>
      <c r="L40" s="321"/>
      <c r="M40" s="321"/>
      <c r="N40" s="321"/>
      <c r="O40" s="321"/>
    </row>
    <row r="41" spans="2:15">
      <c r="B41" s="321"/>
      <c r="C41" s="321"/>
      <c r="D41" s="321"/>
      <c r="E41" s="321"/>
      <c r="F41" s="321"/>
      <c r="G41" s="321"/>
      <c r="H41" s="321"/>
      <c r="I41" s="321"/>
      <c r="J41" s="321"/>
      <c r="K41" s="321"/>
      <c r="L41" s="321"/>
      <c r="M41" s="321"/>
      <c r="N41" s="321"/>
      <c r="O41" s="321"/>
    </row>
    <row r="42" spans="2:15">
      <c r="B42" s="321"/>
      <c r="C42" s="321"/>
      <c r="D42" s="321"/>
      <c r="E42" s="321"/>
      <c r="F42" s="321"/>
      <c r="G42" s="321"/>
      <c r="H42" s="321"/>
      <c r="I42" s="321"/>
      <c r="J42" s="321"/>
      <c r="K42" s="321"/>
      <c r="L42" s="321"/>
      <c r="M42" s="321"/>
      <c r="N42" s="321"/>
      <c r="O42" s="321"/>
    </row>
    <row r="43" spans="2:15">
      <c r="B43" s="324" t="s">
        <v>48</v>
      </c>
      <c r="C43" s="324"/>
      <c r="D43" s="224"/>
      <c r="E43" s="224"/>
      <c r="F43" s="224"/>
      <c r="G43" s="224"/>
      <c r="H43" s="224"/>
      <c r="I43" s="224"/>
      <c r="J43" s="224"/>
      <c r="K43" s="224"/>
      <c r="L43" s="224"/>
      <c r="M43" s="224"/>
      <c r="N43" s="224"/>
      <c r="O43" s="224"/>
    </row>
    <row r="44" spans="2:15" ht="14.45" customHeight="1">
      <c r="B44" s="321" t="s">
        <v>75</v>
      </c>
      <c r="C44" s="321"/>
      <c r="D44" s="321"/>
      <c r="E44" s="321"/>
      <c r="F44" s="321"/>
      <c r="G44" s="321"/>
      <c r="H44" s="321"/>
      <c r="I44" s="321"/>
      <c r="J44" s="321"/>
      <c r="K44" s="321"/>
      <c r="L44" s="321"/>
      <c r="M44" s="321"/>
      <c r="N44" s="321"/>
      <c r="O44" s="321"/>
    </row>
    <row r="45" spans="2:15">
      <c r="B45" s="321"/>
      <c r="C45" s="321"/>
      <c r="D45" s="321"/>
      <c r="E45" s="321"/>
      <c r="F45" s="321"/>
      <c r="G45" s="321"/>
      <c r="H45" s="321"/>
      <c r="I45" s="321"/>
      <c r="J45" s="321"/>
      <c r="K45" s="321"/>
      <c r="L45" s="321"/>
      <c r="M45" s="321"/>
      <c r="N45" s="321"/>
      <c r="O45" s="321"/>
    </row>
    <row r="46" spans="2:15">
      <c r="B46" s="224"/>
      <c r="C46" s="224"/>
      <c r="D46" s="224"/>
      <c r="E46" s="224"/>
      <c r="F46" s="224"/>
      <c r="G46" s="224"/>
      <c r="H46" s="224"/>
      <c r="I46" s="224"/>
      <c r="J46" s="224"/>
      <c r="K46" s="224"/>
      <c r="L46" s="224"/>
      <c r="M46" s="224"/>
      <c r="N46" s="224"/>
      <c r="O46" s="224"/>
    </row>
    <row r="47" spans="2:15" ht="29.1" customHeight="1">
      <c r="B47" s="324" t="s">
        <v>76</v>
      </c>
      <c r="C47" s="324"/>
      <c r="D47" s="224"/>
      <c r="E47" s="224"/>
      <c r="F47" s="224"/>
      <c r="G47" s="224"/>
      <c r="H47" s="224"/>
      <c r="I47" s="224"/>
      <c r="J47" s="224"/>
      <c r="K47" s="224"/>
      <c r="L47" s="224"/>
      <c r="M47" s="224"/>
      <c r="N47" s="224"/>
      <c r="O47" s="224"/>
    </row>
    <row r="48" spans="2:15" ht="29.1" customHeight="1">
      <c r="B48" s="325" t="s">
        <v>77</v>
      </c>
      <c r="C48" s="325"/>
      <c r="D48" s="224"/>
      <c r="E48" s="224"/>
      <c r="F48" s="224"/>
      <c r="G48" s="224"/>
      <c r="H48" s="224"/>
      <c r="I48" s="224"/>
      <c r="J48" s="224"/>
      <c r="K48" s="224"/>
      <c r="L48" s="224"/>
      <c r="M48" s="224"/>
      <c r="N48" s="224"/>
      <c r="O48" s="224"/>
    </row>
    <row r="49" spans="2:15" ht="14.45" customHeight="1">
      <c r="B49" s="321" t="s">
        <v>78</v>
      </c>
      <c r="C49" s="321"/>
      <c r="D49" s="321"/>
      <c r="E49" s="321"/>
      <c r="F49" s="321"/>
      <c r="G49" s="321"/>
      <c r="H49" s="321"/>
      <c r="I49" s="321"/>
      <c r="J49" s="321"/>
      <c r="K49" s="321"/>
      <c r="L49" s="321"/>
      <c r="M49" s="321"/>
      <c r="N49" s="321"/>
      <c r="O49" s="321"/>
    </row>
    <row r="50" spans="2:15">
      <c r="B50" s="321"/>
      <c r="C50" s="321"/>
      <c r="D50" s="321"/>
      <c r="E50" s="321"/>
      <c r="F50" s="321"/>
      <c r="G50" s="321"/>
      <c r="H50" s="321"/>
      <c r="I50" s="321"/>
      <c r="J50" s="321"/>
      <c r="K50" s="321"/>
      <c r="L50" s="321"/>
      <c r="M50" s="321"/>
      <c r="N50" s="321"/>
      <c r="O50" s="321"/>
    </row>
    <row r="51" spans="2:15">
      <c r="B51" s="321"/>
      <c r="C51" s="321"/>
      <c r="D51" s="321"/>
      <c r="E51" s="321"/>
      <c r="F51" s="321"/>
      <c r="G51" s="321"/>
      <c r="H51" s="321"/>
      <c r="I51" s="321"/>
      <c r="J51" s="321"/>
      <c r="K51" s="321"/>
      <c r="L51" s="321"/>
      <c r="M51" s="321"/>
      <c r="N51" s="321"/>
      <c r="O51" s="321"/>
    </row>
    <row r="52" spans="2:15">
      <c r="B52" s="321"/>
      <c r="C52" s="321"/>
      <c r="D52" s="321"/>
      <c r="E52" s="321"/>
      <c r="F52" s="321"/>
      <c r="G52" s="321"/>
      <c r="H52" s="321"/>
      <c r="I52" s="321"/>
      <c r="J52" s="321"/>
      <c r="K52" s="321"/>
      <c r="L52" s="321"/>
      <c r="M52" s="321"/>
      <c r="N52" s="321"/>
      <c r="O52" s="321"/>
    </row>
    <row r="53" spans="2:15">
      <c r="B53" s="321"/>
      <c r="C53" s="321"/>
      <c r="D53" s="321"/>
      <c r="E53" s="321"/>
      <c r="F53" s="321"/>
      <c r="G53" s="321"/>
      <c r="H53" s="321"/>
      <c r="I53" s="321"/>
      <c r="J53" s="321"/>
      <c r="K53" s="321"/>
      <c r="L53" s="321"/>
      <c r="M53" s="321"/>
      <c r="N53" s="321"/>
      <c r="O53" s="321"/>
    </row>
    <row r="54" spans="2:15">
      <c r="B54" s="224"/>
      <c r="C54" s="224"/>
      <c r="D54" s="224"/>
      <c r="E54" s="224"/>
      <c r="F54" s="224"/>
      <c r="G54" s="224"/>
      <c r="H54" s="224"/>
      <c r="I54" s="224"/>
      <c r="J54" s="224"/>
      <c r="K54" s="224"/>
      <c r="L54" s="224"/>
      <c r="M54" s="224"/>
      <c r="N54" s="224"/>
      <c r="O54" s="224"/>
    </row>
    <row r="55" spans="2:15" ht="14.45" customHeight="1">
      <c r="B55" s="321" t="s">
        <v>79</v>
      </c>
      <c r="C55" s="321"/>
      <c r="D55" s="321"/>
      <c r="E55" s="321"/>
      <c r="F55" s="321"/>
      <c r="G55" s="321"/>
      <c r="H55" s="321"/>
      <c r="I55" s="321"/>
      <c r="J55" s="321"/>
      <c r="K55" s="321"/>
      <c r="L55" s="321"/>
      <c r="M55" s="321"/>
      <c r="N55" s="321"/>
      <c r="O55" s="321"/>
    </row>
    <row r="56" spans="2:15">
      <c r="B56" s="321"/>
      <c r="C56" s="321"/>
      <c r="D56" s="321"/>
      <c r="E56" s="321"/>
      <c r="F56" s="321"/>
      <c r="G56" s="321"/>
      <c r="H56" s="321"/>
      <c r="I56" s="321"/>
      <c r="J56" s="321"/>
      <c r="K56" s="321"/>
      <c r="L56" s="321"/>
      <c r="M56" s="321"/>
      <c r="N56" s="321"/>
      <c r="O56" s="321"/>
    </row>
    <row r="57" spans="2:15">
      <c r="B57" s="321"/>
      <c r="C57" s="321"/>
      <c r="D57" s="321"/>
      <c r="E57" s="321"/>
      <c r="F57" s="321"/>
      <c r="G57" s="321"/>
      <c r="H57" s="321"/>
      <c r="I57" s="321"/>
      <c r="J57" s="321"/>
      <c r="K57" s="321"/>
      <c r="L57" s="321"/>
      <c r="M57" s="321"/>
      <c r="N57" s="321"/>
      <c r="O57" s="321"/>
    </row>
    <row r="58" spans="2:15">
      <c r="B58" s="321"/>
      <c r="C58" s="321"/>
      <c r="D58" s="321"/>
      <c r="E58" s="321"/>
      <c r="F58" s="321"/>
      <c r="G58" s="321"/>
      <c r="H58" s="321"/>
      <c r="I58" s="321"/>
      <c r="J58" s="321"/>
      <c r="K58" s="321"/>
      <c r="L58" s="321"/>
      <c r="M58" s="321"/>
      <c r="N58" s="321"/>
      <c r="O58" s="321"/>
    </row>
    <row r="59" spans="2:15">
      <c r="B59" s="321"/>
      <c r="C59" s="321"/>
      <c r="D59" s="321"/>
      <c r="E59" s="321"/>
      <c r="F59" s="321"/>
      <c r="G59" s="321"/>
      <c r="H59" s="321"/>
      <c r="I59" s="321"/>
      <c r="J59" s="321"/>
      <c r="K59" s="321"/>
      <c r="L59" s="321"/>
      <c r="M59" s="321"/>
      <c r="N59" s="321"/>
      <c r="O59" s="321"/>
    </row>
    <row r="60" spans="2:15">
      <c r="B60" s="321"/>
      <c r="C60" s="321"/>
      <c r="D60" s="321"/>
      <c r="E60" s="321"/>
      <c r="F60" s="321"/>
      <c r="G60" s="321"/>
      <c r="H60" s="321"/>
      <c r="I60" s="321"/>
      <c r="J60" s="321"/>
      <c r="K60" s="321"/>
      <c r="L60" s="321"/>
      <c r="M60" s="321"/>
      <c r="N60" s="321"/>
      <c r="O60" s="321"/>
    </row>
    <row r="61" spans="2:15">
      <c r="B61" s="321"/>
      <c r="C61" s="321"/>
      <c r="D61" s="321"/>
      <c r="E61" s="321"/>
      <c r="F61" s="321"/>
      <c r="G61" s="321"/>
      <c r="H61" s="321"/>
      <c r="I61" s="321"/>
      <c r="J61" s="321"/>
      <c r="K61" s="321"/>
      <c r="L61" s="321"/>
      <c r="M61" s="321"/>
      <c r="N61" s="321"/>
      <c r="O61" s="321"/>
    </row>
    <row r="62" spans="2:15">
      <c r="B62" s="321"/>
      <c r="C62" s="321"/>
      <c r="D62" s="321"/>
      <c r="E62" s="321"/>
      <c r="F62" s="321"/>
      <c r="G62" s="321"/>
      <c r="H62" s="321"/>
      <c r="I62" s="321"/>
      <c r="J62" s="321"/>
      <c r="K62" s="321"/>
      <c r="L62" s="321"/>
      <c r="M62" s="321"/>
      <c r="N62" s="321"/>
      <c r="O62" s="321"/>
    </row>
    <row r="63" spans="2:15">
      <c r="B63" s="321"/>
      <c r="C63" s="321"/>
      <c r="D63" s="321"/>
      <c r="E63" s="321"/>
      <c r="F63" s="321"/>
      <c r="G63" s="321"/>
      <c r="H63" s="321"/>
      <c r="I63" s="321"/>
      <c r="J63" s="321"/>
      <c r="K63" s="321"/>
      <c r="L63" s="321"/>
      <c r="M63" s="321"/>
      <c r="N63" s="321"/>
      <c r="O63" s="321"/>
    </row>
    <row r="64" spans="2:15">
      <c r="B64" s="321"/>
      <c r="C64" s="321"/>
      <c r="D64" s="321"/>
      <c r="E64" s="321"/>
      <c r="F64" s="321"/>
      <c r="G64" s="321"/>
      <c r="H64" s="321"/>
      <c r="I64" s="321"/>
      <c r="J64" s="321"/>
      <c r="K64" s="321"/>
      <c r="L64" s="321"/>
      <c r="M64" s="321"/>
      <c r="N64" s="321"/>
      <c r="O64" s="321"/>
    </row>
    <row r="66" spans="2:15">
      <c r="B66" s="227" t="s">
        <v>80</v>
      </c>
    </row>
    <row r="68" spans="2:15" ht="14.45" customHeight="1">
      <c r="B68" s="321" t="s">
        <v>81</v>
      </c>
      <c r="C68" s="321"/>
      <c r="D68" s="321"/>
      <c r="E68" s="321"/>
      <c r="F68" s="321"/>
      <c r="G68" s="321"/>
      <c r="H68" s="321"/>
      <c r="I68" s="321"/>
      <c r="J68" s="321"/>
      <c r="K68" s="321"/>
      <c r="L68" s="321"/>
      <c r="M68" s="321"/>
      <c r="N68" s="321"/>
      <c r="O68" s="321"/>
    </row>
    <row r="69" spans="2:15">
      <c r="B69" s="321"/>
      <c r="C69" s="321"/>
      <c r="D69" s="321"/>
      <c r="E69" s="321"/>
      <c r="F69" s="321"/>
      <c r="G69" s="321"/>
      <c r="H69" s="321"/>
      <c r="I69" s="321"/>
      <c r="J69" s="321"/>
      <c r="K69" s="321"/>
      <c r="L69" s="321"/>
      <c r="M69" s="321"/>
      <c r="N69" s="321"/>
      <c r="O69" s="321"/>
    </row>
    <row r="70" spans="2:15">
      <c r="B70" s="321"/>
      <c r="C70" s="321"/>
      <c r="D70" s="321"/>
      <c r="E70" s="321"/>
      <c r="F70" s="321"/>
      <c r="G70" s="321"/>
      <c r="H70" s="321"/>
      <c r="I70" s="321"/>
      <c r="J70" s="321"/>
      <c r="K70" s="321"/>
      <c r="L70" s="321"/>
      <c r="M70" s="321"/>
      <c r="N70" s="321"/>
      <c r="O70" s="321"/>
    </row>
    <row r="71" spans="2:15">
      <c r="B71" s="321"/>
      <c r="C71" s="321"/>
      <c r="D71" s="321"/>
      <c r="E71" s="321"/>
      <c r="F71" s="321"/>
      <c r="G71" s="321"/>
      <c r="H71" s="321"/>
      <c r="I71" s="321"/>
      <c r="J71" s="321"/>
      <c r="K71" s="321"/>
      <c r="L71" s="321"/>
      <c r="M71" s="321"/>
      <c r="N71" s="321"/>
      <c r="O71" s="321"/>
    </row>
    <row r="72" spans="2:15">
      <c r="B72" s="321"/>
      <c r="C72" s="321"/>
      <c r="D72" s="321"/>
      <c r="E72" s="321"/>
      <c r="F72" s="321"/>
      <c r="G72" s="321"/>
      <c r="H72" s="321"/>
      <c r="I72" s="321"/>
      <c r="J72" s="321"/>
      <c r="K72" s="321"/>
      <c r="L72" s="321"/>
      <c r="M72" s="321"/>
      <c r="N72" s="321"/>
      <c r="O72" s="321"/>
    </row>
    <row r="73" spans="2:15">
      <c r="B73" s="321"/>
      <c r="C73" s="321"/>
      <c r="D73" s="321"/>
      <c r="E73" s="321"/>
      <c r="F73" s="321"/>
      <c r="G73" s="321"/>
      <c r="H73" s="321"/>
      <c r="I73" s="321"/>
      <c r="J73" s="321"/>
      <c r="K73" s="321"/>
      <c r="L73" s="321"/>
      <c r="M73" s="321"/>
      <c r="N73" s="321"/>
      <c r="O73" s="321"/>
    </row>
    <row r="74" spans="2:15">
      <c r="B74" s="321"/>
      <c r="C74" s="321"/>
      <c r="D74" s="321"/>
      <c r="E74" s="321"/>
      <c r="F74" s="321"/>
      <c r="G74" s="321"/>
      <c r="H74" s="321"/>
      <c r="I74" s="321"/>
      <c r="J74" s="321"/>
      <c r="K74" s="321"/>
      <c r="L74" s="321"/>
      <c r="M74" s="321"/>
      <c r="N74" s="321"/>
      <c r="O74" s="321"/>
    </row>
    <row r="75" spans="2:15">
      <c r="B75" s="321"/>
      <c r="C75" s="321"/>
      <c r="D75" s="321"/>
      <c r="E75" s="321"/>
      <c r="F75" s="321"/>
      <c r="G75" s="321"/>
      <c r="H75" s="321"/>
      <c r="I75" s="321"/>
      <c r="J75" s="321"/>
      <c r="K75" s="321"/>
      <c r="L75" s="321"/>
      <c r="M75" s="321"/>
      <c r="N75" s="321"/>
      <c r="O75" s="321"/>
    </row>
    <row r="76" spans="2:15">
      <c r="B76" s="321"/>
      <c r="C76" s="321"/>
      <c r="D76" s="321"/>
      <c r="E76" s="321"/>
      <c r="F76" s="321"/>
      <c r="G76" s="321"/>
      <c r="H76" s="321"/>
      <c r="I76" s="321"/>
      <c r="J76" s="321"/>
      <c r="K76" s="321"/>
      <c r="L76" s="321"/>
      <c r="M76" s="321"/>
      <c r="N76" s="321"/>
      <c r="O76" s="321"/>
    </row>
    <row r="77" spans="2:15">
      <c r="B77" s="321"/>
      <c r="C77" s="321"/>
      <c r="D77" s="321"/>
      <c r="E77" s="321"/>
      <c r="F77" s="321"/>
      <c r="G77" s="321"/>
      <c r="H77" s="321"/>
      <c r="I77" s="321"/>
      <c r="J77" s="321"/>
      <c r="K77" s="321"/>
      <c r="L77" s="321"/>
      <c r="M77" s="321"/>
      <c r="N77" s="321"/>
      <c r="O77" s="321"/>
    </row>
    <row r="79" spans="2:15" ht="14.45" customHeight="1">
      <c r="B79" s="321" t="s">
        <v>82</v>
      </c>
      <c r="C79" s="321"/>
      <c r="D79" s="321"/>
      <c r="E79" s="321"/>
      <c r="F79" s="321"/>
      <c r="G79" s="321"/>
      <c r="H79" s="321"/>
      <c r="I79" s="321"/>
      <c r="J79" s="321"/>
      <c r="K79" s="321"/>
      <c r="L79" s="321"/>
      <c r="M79" s="321"/>
      <c r="N79" s="321"/>
      <c r="O79" s="321"/>
    </row>
    <row r="80" spans="2:15">
      <c r="B80" s="321"/>
      <c r="C80" s="321"/>
      <c r="D80" s="321"/>
      <c r="E80" s="321"/>
      <c r="F80" s="321"/>
      <c r="G80" s="321"/>
      <c r="H80" s="321"/>
      <c r="I80" s="321"/>
      <c r="J80" s="321"/>
      <c r="K80" s="321"/>
      <c r="L80" s="321"/>
      <c r="M80" s="321"/>
      <c r="N80" s="321"/>
      <c r="O80" s="321"/>
    </row>
    <row r="81" spans="2:15">
      <c r="B81" s="321"/>
      <c r="C81" s="321"/>
      <c r="D81" s="321"/>
      <c r="E81" s="321"/>
      <c r="F81" s="321"/>
      <c r="G81" s="321"/>
      <c r="H81" s="321"/>
      <c r="I81" s="321"/>
      <c r="J81" s="321"/>
      <c r="K81" s="321"/>
      <c r="L81" s="321"/>
      <c r="M81" s="321"/>
      <c r="N81" s="321"/>
      <c r="O81" s="321"/>
    </row>
    <row r="82" spans="2:15">
      <c r="B82" s="321"/>
      <c r="C82" s="321"/>
      <c r="D82" s="321"/>
      <c r="E82" s="321"/>
      <c r="F82" s="321"/>
      <c r="G82" s="321"/>
      <c r="H82" s="321"/>
      <c r="I82" s="321"/>
      <c r="J82" s="321"/>
      <c r="K82" s="321"/>
      <c r="L82" s="321"/>
      <c r="M82" s="321"/>
      <c r="N82" s="321"/>
      <c r="O82" s="321"/>
    </row>
    <row r="83" spans="2:15">
      <c r="B83" s="321"/>
      <c r="C83" s="321"/>
      <c r="D83" s="321"/>
      <c r="E83" s="321"/>
      <c r="F83" s="321"/>
      <c r="G83" s="321"/>
      <c r="H83" s="321"/>
      <c r="I83" s="321"/>
      <c r="J83" s="321"/>
      <c r="K83" s="321"/>
      <c r="L83" s="321"/>
      <c r="M83" s="321"/>
      <c r="N83" s="321"/>
      <c r="O83" s="321"/>
    </row>
    <row r="84" spans="2:15">
      <c r="B84" s="321"/>
      <c r="C84" s="321"/>
      <c r="D84" s="321"/>
      <c r="E84" s="321"/>
      <c r="F84" s="321"/>
      <c r="G84" s="321"/>
      <c r="H84" s="321"/>
      <c r="I84" s="321"/>
      <c r="J84" s="321"/>
      <c r="K84" s="321"/>
      <c r="L84" s="321"/>
      <c r="M84" s="321"/>
      <c r="N84" s="321"/>
      <c r="O84" s="321"/>
    </row>
    <row r="85" spans="2:15">
      <c r="B85" s="321"/>
      <c r="C85" s="321"/>
      <c r="D85" s="321"/>
      <c r="E85" s="321"/>
      <c r="F85" s="321"/>
      <c r="G85" s="321"/>
      <c r="H85" s="321"/>
      <c r="I85" s="321"/>
      <c r="J85" s="321"/>
      <c r="K85" s="321"/>
      <c r="L85" s="321"/>
      <c r="M85" s="321"/>
      <c r="N85" s="321"/>
      <c r="O85" s="321"/>
    </row>
    <row r="86" spans="2:15">
      <c r="B86" s="321"/>
      <c r="C86" s="321"/>
      <c r="D86" s="321"/>
      <c r="E86" s="321"/>
      <c r="F86" s="321"/>
      <c r="G86" s="321"/>
      <c r="H86" s="321"/>
      <c r="I86" s="321"/>
      <c r="J86" s="321"/>
      <c r="K86" s="321"/>
      <c r="L86" s="321"/>
      <c r="M86" s="321"/>
      <c r="N86" s="321"/>
      <c r="O86" s="321"/>
    </row>
    <row r="87" spans="2:15">
      <c r="B87" s="321"/>
      <c r="C87" s="321"/>
      <c r="D87" s="321"/>
      <c r="E87" s="321"/>
      <c r="F87" s="321"/>
      <c r="G87" s="321"/>
      <c r="H87" s="321"/>
      <c r="I87" s="321"/>
      <c r="J87" s="321"/>
      <c r="K87" s="321"/>
      <c r="L87" s="321"/>
      <c r="M87" s="321"/>
      <c r="N87" s="321"/>
      <c r="O87" s="321"/>
    </row>
    <row r="88" spans="2:15">
      <c r="B88" s="321"/>
      <c r="C88" s="321"/>
      <c r="D88" s="321"/>
      <c r="E88" s="321"/>
      <c r="F88" s="321"/>
      <c r="G88" s="321"/>
      <c r="H88" s="321"/>
      <c r="I88" s="321"/>
      <c r="J88" s="321"/>
      <c r="K88" s="321"/>
      <c r="L88" s="321"/>
      <c r="M88" s="321"/>
      <c r="N88" s="321"/>
      <c r="O88" s="321"/>
    </row>
    <row r="89" spans="2:15">
      <c r="B89" s="321"/>
      <c r="C89" s="321"/>
      <c r="D89" s="321"/>
      <c r="E89" s="321"/>
      <c r="F89" s="321"/>
      <c r="G89" s="321"/>
      <c r="H89" s="321"/>
      <c r="I89" s="321"/>
      <c r="J89" s="321"/>
      <c r="K89" s="321"/>
      <c r="L89" s="321"/>
      <c r="M89" s="321"/>
      <c r="N89" s="321"/>
      <c r="O89" s="321"/>
    </row>
    <row r="90" spans="2:15">
      <c r="B90" s="226" t="s">
        <v>83</v>
      </c>
      <c r="C90" s="226"/>
      <c r="D90" s="226"/>
      <c r="E90" s="226"/>
      <c r="F90" s="226"/>
      <c r="G90" s="226"/>
      <c r="H90" s="226"/>
      <c r="I90" s="226"/>
      <c r="J90" s="226"/>
      <c r="K90" s="226"/>
      <c r="L90" s="226"/>
      <c r="M90" s="226"/>
      <c r="N90" s="226"/>
      <c r="O90" s="225"/>
    </row>
    <row r="91" spans="2:15" ht="14.45" customHeight="1">
      <c r="B91" s="321" t="s">
        <v>84</v>
      </c>
      <c r="C91" s="321"/>
      <c r="D91" s="321"/>
      <c r="E91" s="321"/>
      <c r="F91" s="321"/>
      <c r="G91" s="321"/>
      <c r="H91" s="321"/>
      <c r="I91" s="321"/>
      <c r="J91" s="321"/>
      <c r="K91" s="321"/>
      <c r="L91" s="321"/>
      <c r="M91" s="321"/>
      <c r="N91" s="321"/>
      <c r="O91" s="321"/>
    </row>
    <row r="92" spans="2:15">
      <c r="B92" s="321"/>
      <c r="C92" s="321"/>
      <c r="D92" s="321"/>
      <c r="E92" s="321"/>
      <c r="F92" s="321"/>
      <c r="G92" s="321"/>
      <c r="H92" s="321"/>
      <c r="I92" s="321"/>
      <c r="J92" s="321"/>
      <c r="K92" s="321"/>
      <c r="L92" s="321"/>
      <c r="M92" s="321"/>
      <c r="N92" s="321"/>
      <c r="O92" s="321"/>
    </row>
    <row r="94" spans="2:15">
      <c r="B94" s="226" t="s">
        <v>85</v>
      </c>
      <c r="C94" s="226"/>
      <c r="D94" s="226"/>
      <c r="E94" s="226"/>
      <c r="F94" s="226"/>
      <c r="G94" s="226"/>
      <c r="H94" s="226"/>
      <c r="I94" s="226"/>
      <c r="J94" s="226"/>
      <c r="K94" s="226"/>
      <c r="L94" s="226"/>
      <c r="M94" s="226"/>
      <c r="N94" s="226"/>
      <c r="O94" s="225"/>
    </row>
    <row r="95" spans="2:15" ht="14.45" customHeight="1">
      <c r="B95" s="321" t="s">
        <v>86</v>
      </c>
      <c r="C95" s="321"/>
      <c r="D95" s="321"/>
      <c r="E95" s="321"/>
      <c r="F95" s="321"/>
      <c r="G95" s="321"/>
      <c r="H95" s="321"/>
      <c r="I95" s="321"/>
      <c r="J95" s="321"/>
      <c r="K95" s="321"/>
      <c r="L95" s="321"/>
      <c r="M95" s="321"/>
      <c r="N95" s="321"/>
      <c r="O95" s="321"/>
    </row>
    <row r="96" spans="2:15">
      <c r="B96" s="321"/>
      <c r="C96" s="321"/>
      <c r="D96" s="321"/>
      <c r="E96" s="321"/>
      <c r="F96" s="321"/>
      <c r="G96" s="321"/>
      <c r="H96" s="321"/>
      <c r="I96" s="321"/>
      <c r="J96" s="321"/>
      <c r="K96" s="321"/>
      <c r="L96" s="321"/>
      <c r="M96" s="321"/>
      <c r="N96" s="321"/>
      <c r="O96" s="321"/>
    </row>
  </sheetData>
  <mergeCells count="18">
    <mergeCell ref="B91:O92"/>
    <mergeCell ref="B95:O96"/>
    <mergeCell ref="B49:O53"/>
    <mergeCell ref="B68:O77"/>
    <mergeCell ref="B79:O89"/>
    <mergeCell ref="B47:C47"/>
    <mergeCell ref="B48:C48"/>
    <mergeCell ref="B55:O64"/>
    <mergeCell ref="B35:O37"/>
    <mergeCell ref="B40:O42"/>
    <mergeCell ref="B44:O45"/>
    <mergeCell ref="B43:C43"/>
    <mergeCell ref="B2:O3"/>
    <mergeCell ref="B8:O9"/>
    <mergeCell ref="B11:O12"/>
    <mergeCell ref="B25:O27"/>
    <mergeCell ref="B30:O32"/>
    <mergeCell ref="B14:O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471B0-128E-42EE-B65F-8D3FE510F119}">
  <sheetPr>
    <tabColor theme="5" tint="0.39997558519241921"/>
  </sheetPr>
  <dimension ref="A1:O84"/>
  <sheetViews>
    <sheetView showGridLines="0" topLeftCell="A41" zoomScale="70" zoomScaleNormal="70" workbookViewId="0">
      <selection activeCell="O15" sqref="O15"/>
    </sheetView>
  </sheetViews>
  <sheetFormatPr defaultColWidth="8.85546875" defaultRowHeight="12.75" customHeight="1"/>
  <cols>
    <col min="1" max="1" width="1.5703125" style="254" customWidth="1"/>
    <col min="2" max="2" width="37.42578125" style="254" customWidth="1"/>
    <col min="3" max="3" width="12.42578125" style="254" customWidth="1"/>
    <col min="4" max="4" width="19" style="254" customWidth="1"/>
    <col min="5" max="10" width="12.42578125" style="254" customWidth="1"/>
    <col min="11" max="13" width="9.140625" style="254" bestFit="1" customWidth="1"/>
    <col min="14" max="14" width="34" style="254" customWidth="1"/>
    <col min="15" max="15" width="23.7109375" style="254" customWidth="1"/>
    <col min="16" max="16384" width="8.85546875" style="254"/>
  </cols>
  <sheetData>
    <row r="1" spans="1:15" s="67" customFormat="1" ht="28.5">
      <c r="A1" s="68"/>
      <c r="B1" s="326" t="s">
        <v>87</v>
      </c>
      <c r="C1" s="326"/>
      <c r="D1" s="326"/>
      <c r="E1" s="326"/>
      <c r="F1" s="326"/>
      <c r="G1" s="326"/>
      <c r="H1" s="326"/>
      <c r="I1" s="326"/>
      <c r="J1" s="326"/>
      <c r="K1" s="326"/>
      <c r="L1" s="326"/>
      <c r="M1" s="326"/>
      <c r="N1" s="326"/>
      <c r="O1" s="326"/>
    </row>
    <row r="2" spans="1:15">
      <c r="B2" s="257"/>
      <c r="C2" s="257"/>
      <c r="D2" s="257"/>
    </row>
    <row r="3" spans="1:15" s="57" customFormat="1" ht="15">
      <c r="B3" s="65" t="s">
        <v>88</v>
      </c>
      <c r="C3" s="64"/>
      <c r="D3" s="69">
        <v>45343</v>
      </c>
    </row>
    <row r="4" spans="1:15" s="57" customFormat="1" ht="15">
      <c r="B4" s="65" t="s">
        <v>89</v>
      </c>
      <c r="C4" s="64"/>
      <c r="D4" s="70">
        <v>18.989999999999998</v>
      </c>
    </row>
    <row r="5" spans="1:15" s="57" customFormat="1" ht="15">
      <c r="B5" s="65" t="s">
        <v>90</v>
      </c>
      <c r="C5" s="64"/>
      <c r="D5" s="71">
        <v>282000000</v>
      </c>
    </row>
    <row r="6" spans="1:15" s="57" customFormat="1" ht="15">
      <c r="B6" s="65" t="s">
        <v>91</v>
      </c>
      <c r="C6" s="64"/>
      <c r="D6" s="71">
        <f>D4*D5</f>
        <v>5355180000</v>
      </c>
    </row>
    <row r="7" spans="1:15" s="57" customFormat="1" ht="18.75">
      <c r="B7" s="86" t="s">
        <v>92</v>
      </c>
      <c r="C7" s="86"/>
      <c r="D7" s="86"/>
      <c r="E7" s="86"/>
      <c r="F7" s="86"/>
      <c r="G7" s="86"/>
      <c r="H7" s="86"/>
      <c r="I7" s="86"/>
      <c r="J7" s="86"/>
      <c r="N7" s="327" t="s">
        <v>93</v>
      </c>
      <c r="O7" s="328"/>
    </row>
    <row r="8" spans="1:15" s="57" customFormat="1" ht="15">
      <c r="B8" s="65"/>
      <c r="C8" s="87"/>
      <c r="D8" s="88"/>
      <c r="E8" s="88"/>
      <c r="F8" s="329" t="s">
        <v>94</v>
      </c>
      <c r="G8" s="330"/>
      <c r="H8" s="330"/>
      <c r="I8" s="330"/>
      <c r="J8" s="331"/>
      <c r="N8" s="3" t="s">
        <v>95</v>
      </c>
      <c r="O8" s="4"/>
    </row>
    <row r="9" spans="1:15" s="57" customFormat="1" ht="15">
      <c r="B9" s="20"/>
      <c r="C9" s="72">
        <f>F9-3</f>
        <v>2020</v>
      </c>
      <c r="D9" s="72">
        <f>G9-3</f>
        <v>2021</v>
      </c>
      <c r="E9" s="72">
        <f>G9-2</f>
        <v>2022</v>
      </c>
      <c r="F9" s="75">
        <v>2023</v>
      </c>
      <c r="G9" s="72">
        <f>$F$9+F10</f>
        <v>2024</v>
      </c>
      <c r="H9" s="72">
        <f>$F$9+G10</f>
        <v>2025</v>
      </c>
      <c r="I9" s="72">
        <f>$F$9+H10</f>
        <v>2026</v>
      </c>
      <c r="J9" s="72">
        <f>$F$9+I10</f>
        <v>2027</v>
      </c>
      <c r="N9" s="76" t="s">
        <v>96</v>
      </c>
      <c r="O9" s="98">
        <f>E34</f>
        <v>7923</v>
      </c>
    </row>
    <row r="10" spans="1:15" s="57" customFormat="1" ht="15">
      <c r="B10" s="55" t="s">
        <v>97</v>
      </c>
      <c r="C10" s="27"/>
      <c r="D10" s="27"/>
      <c r="E10" s="27"/>
      <c r="F10" s="54">
        <v>1</v>
      </c>
      <c r="G10" s="54">
        <f>F10+1</f>
        <v>2</v>
      </c>
      <c r="H10" s="54">
        <f>G10+1</f>
        <v>3</v>
      </c>
      <c r="I10" s="54">
        <f>H10+1</f>
        <v>4</v>
      </c>
      <c r="J10" s="54">
        <f>I10+1</f>
        <v>5</v>
      </c>
      <c r="N10" s="76" t="s">
        <v>98</v>
      </c>
      <c r="O10" s="98">
        <f>D6/1000000</f>
        <v>5355.18</v>
      </c>
    </row>
    <row r="11" spans="1:15" s="57" customFormat="1" ht="15">
      <c r="B11" s="65" t="s">
        <v>99</v>
      </c>
      <c r="C11" s="77">
        <v>17346</v>
      </c>
      <c r="D11" s="77">
        <v>24460</v>
      </c>
      <c r="E11" s="77">
        <v>24442</v>
      </c>
      <c r="F11" s="79">
        <f>E11*(1+F12)</f>
        <v>24197.579999999998</v>
      </c>
      <c r="G11" s="80">
        <f>F11*(1+G12)</f>
        <v>23471.652599999998</v>
      </c>
      <c r="H11" s="80">
        <f>G11*(1+H12)</f>
        <v>22298.069969999997</v>
      </c>
      <c r="I11" s="80">
        <f>H11*(1+I12)</f>
        <v>21004.781911739996</v>
      </c>
      <c r="J11" s="80">
        <f>I11*(1+J12)</f>
        <v>19744.494997035596</v>
      </c>
      <c r="N11" s="5" t="s">
        <v>100</v>
      </c>
      <c r="O11" s="6">
        <f>O9/(O9+O10)</f>
        <v>0.5966932215107793</v>
      </c>
    </row>
    <row r="12" spans="1:15" s="57" customFormat="1" ht="15">
      <c r="B12" s="61" t="s">
        <v>101</v>
      </c>
      <c r="C12" s="64"/>
      <c r="D12" s="64"/>
      <c r="E12" s="211">
        <f>(E11-D11)/D11</f>
        <v>-7.3589533932951758E-4</v>
      </c>
      <c r="F12" s="81">
        <v>-0.01</v>
      </c>
      <c r="G12" s="82">
        <v>-0.03</v>
      </c>
      <c r="H12" s="82">
        <v>-0.05</v>
      </c>
      <c r="I12" s="82">
        <v>-5.8000000000000003E-2</v>
      </c>
      <c r="J12" s="82">
        <v>-0.06</v>
      </c>
      <c r="N12" s="7" t="s">
        <v>102</v>
      </c>
      <c r="O12" s="8">
        <f>1-O11</f>
        <v>0.4033067784892207</v>
      </c>
    </row>
    <row r="13" spans="1:15" s="57" customFormat="1" ht="15">
      <c r="B13" s="65"/>
      <c r="C13" s="64"/>
      <c r="D13" s="64"/>
      <c r="E13" s="63"/>
      <c r="F13" s="76"/>
      <c r="N13"/>
      <c r="O13"/>
    </row>
    <row r="14" spans="1:15" s="57" customFormat="1" ht="15">
      <c r="B14" s="65" t="s">
        <v>103</v>
      </c>
      <c r="C14" s="78">
        <v>-3146</v>
      </c>
      <c r="D14" s="78">
        <v>3194</v>
      </c>
      <c r="E14" s="78">
        <v>2568</v>
      </c>
      <c r="F14" s="83">
        <f>F15*F11</f>
        <v>2177.7821999999996</v>
      </c>
      <c r="G14" s="84">
        <f>G15*G11</f>
        <v>2112.4487339999996</v>
      </c>
      <c r="H14" s="84">
        <f>H15*H11</f>
        <v>1783.8455975999998</v>
      </c>
      <c r="I14" s="84">
        <f>I15*I11</f>
        <v>1260.2869147043998</v>
      </c>
      <c r="J14" s="84">
        <f>J15*J11</f>
        <v>987.22474985177985</v>
      </c>
      <c r="N14" s="9" t="s">
        <v>104</v>
      </c>
      <c r="O14" s="10"/>
    </row>
    <row r="15" spans="1:15" s="57" customFormat="1" ht="15">
      <c r="B15" s="61" t="s">
        <v>105</v>
      </c>
      <c r="C15" s="211">
        <f>C14/C11</f>
        <v>-0.18136746223913294</v>
      </c>
      <c r="D15" s="211">
        <f>D14/D11</f>
        <v>0.13058053965658217</v>
      </c>
      <c r="E15" s="211">
        <f>E14/E11</f>
        <v>0.10506505195974143</v>
      </c>
      <c r="F15" s="81">
        <v>0.09</v>
      </c>
      <c r="G15" s="82">
        <v>0.09</v>
      </c>
      <c r="H15" s="82">
        <v>0.08</v>
      </c>
      <c r="I15" s="82">
        <v>0.06</v>
      </c>
      <c r="J15" s="82">
        <v>0.05</v>
      </c>
      <c r="N15" s="5" t="s">
        <v>104</v>
      </c>
      <c r="O15" s="210">
        <v>5.1999999999999998E-2</v>
      </c>
    </row>
    <row r="16" spans="1:15" s="57" customFormat="1" ht="15">
      <c r="B16" s="65"/>
      <c r="C16" s="64"/>
      <c r="D16" s="64"/>
      <c r="E16" s="63"/>
      <c r="F16" s="76"/>
      <c r="N16" s="5" t="s">
        <v>106</v>
      </c>
      <c r="O16" s="210">
        <v>0.21</v>
      </c>
    </row>
    <row r="17" spans="2:15" s="57" customFormat="1" ht="15">
      <c r="B17" s="65" t="s">
        <v>107</v>
      </c>
      <c r="C17" s="85">
        <f>C14-C20</f>
        <v>-4105</v>
      </c>
      <c r="D17" s="85">
        <f>D14-D20</f>
        <v>2320</v>
      </c>
      <c r="E17" s="85">
        <f>E14-E20</f>
        <v>1711</v>
      </c>
      <c r="F17" s="83">
        <f>F18*F11</f>
        <v>1451.8547999999998</v>
      </c>
      <c r="G17" s="84">
        <f>G18*G11</f>
        <v>1173.5826299999999</v>
      </c>
      <c r="H17" s="84">
        <f>H18*H11</f>
        <v>891.9227987999999</v>
      </c>
      <c r="I17" s="84">
        <f>I18*I11</f>
        <v>420.09563823479994</v>
      </c>
      <c r="J17" s="84">
        <f>J18*J11</f>
        <v>394.88989994071193</v>
      </c>
      <c r="N17" s="7" t="s">
        <v>108</v>
      </c>
      <c r="O17" s="11">
        <f>O15*(1-O16)</f>
        <v>4.1079999999999998E-2</v>
      </c>
    </row>
    <row r="18" spans="2:15" s="57" customFormat="1" ht="15">
      <c r="B18" s="61" t="s">
        <v>109</v>
      </c>
      <c r="C18" s="211">
        <f>C17/C11</f>
        <v>-0.23665398362734924</v>
      </c>
      <c r="D18" s="211">
        <f>D17/D11</f>
        <v>9.4848732624693372E-2</v>
      </c>
      <c r="E18" s="211">
        <f>E17/E11</f>
        <v>7.0002454790933644E-2</v>
      </c>
      <c r="F18" s="81">
        <v>0.06</v>
      </c>
      <c r="G18" s="82">
        <v>0.05</v>
      </c>
      <c r="H18" s="82">
        <v>0.04</v>
      </c>
      <c r="I18" s="82">
        <v>0.02</v>
      </c>
      <c r="J18" s="82">
        <v>0.02</v>
      </c>
      <c r="N18"/>
      <c r="O18"/>
    </row>
    <row r="19" spans="2:15" s="57" customFormat="1" ht="15">
      <c r="B19" s="65"/>
      <c r="C19" s="64"/>
      <c r="D19" s="64"/>
      <c r="E19" s="63"/>
      <c r="F19" s="76"/>
      <c r="N19" s="9" t="s">
        <v>110</v>
      </c>
      <c r="O19" s="10"/>
    </row>
    <row r="20" spans="2:15" s="57" customFormat="1" ht="15">
      <c r="B20" s="65" t="s">
        <v>111</v>
      </c>
      <c r="C20" s="78">
        <v>959</v>
      </c>
      <c r="D20" s="78">
        <v>874</v>
      </c>
      <c r="E20" s="78">
        <v>857</v>
      </c>
      <c r="F20" s="83">
        <f>F21*F11</f>
        <v>822.71771999999999</v>
      </c>
      <c r="G20" s="84">
        <f>G21*G11</f>
        <v>774.56453579999993</v>
      </c>
      <c r="H20" s="84">
        <f>H21*H11</f>
        <v>713.53823903999989</v>
      </c>
      <c r="I20" s="84">
        <f>I21*I11</f>
        <v>651.1482392639399</v>
      </c>
      <c r="J20" s="84">
        <f>J21*J11</f>
        <v>592.33484991106786</v>
      </c>
      <c r="N20" s="5" t="s">
        <v>112</v>
      </c>
      <c r="O20" s="208">
        <v>4.1000000000000002E-2</v>
      </c>
    </row>
    <row r="21" spans="2:15" s="57" customFormat="1" ht="15">
      <c r="B21" s="61" t="s">
        <v>113</v>
      </c>
      <c r="C21" s="211">
        <f>C20/C11</f>
        <v>5.5286521388216305E-2</v>
      </c>
      <c r="D21" s="211">
        <f>D20/D11</f>
        <v>3.5731807031888801E-2</v>
      </c>
      <c r="E21" s="211">
        <f>E20/E11</f>
        <v>3.5062597168807788E-2</v>
      </c>
      <c r="F21" s="81">
        <v>3.4000000000000002E-2</v>
      </c>
      <c r="G21" s="82">
        <v>3.3000000000000002E-2</v>
      </c>
      <c r="H21" s="82">
        <v>3.2000000000000001E-2</v>
      </c>
      <c r="I21" s="82">
        <v>3.1E-2</v>
      </c>
      <c r="J21" s="82">
        <v>0.03</v>
      </c>
      <c r="N21" s="5" t="s">
        <v>114</v>
      </c>
      <c r="O21" s="6">
        <v>0.114</v>
      </c>
    </row>
    <row r="22" spans="2:15" s="57" customFormat="1" ht="15">
      <c r="B22" s="65"/>
      <c r="C22" s="64"/>
      <c r="D22" s="64"/>
      <c r="E22" s="63"/>
      <c r="F22" s="76"/>
      <c r="N22" s="5" t="s">
        <v>115</v>
      </c>
      <c r="O22" s="209">
        <v>1.4</v>
      </c>
    </row>
    <row r="23" spans="2:15" s="57" customFormat="1" ht="18.75">
      <c r="B23" s="86" t="s">
        <v>116</v>
      </c>
      <c r="C23" s="86"/>
      <c r="D23" s="86"/>
      <c r="E23" s="86"/>
      <c r="F23" s="86"/>
      <c r="G23" s="86"/>
      <c r="H23" s="86"/>
      <c r="I23" s="86"/>
      <c r="J23" s="86"/>
      <c r="N23" s="7" t="s">
        <v>110</v>
      </c>
      <c r="O23" s="11">
        <f>O20+O22*O21</f>
        <v>0.2006</v>
      </c>
    </row>
    <row r="24" spans="2:15" s="57" customFormat="1" ht="15">
      <c r="B24" s="65"/>
      <c r="C24" s="73"/>
      <c r="D24" s="73"/>
      <c r="E24" s="74"/>
      <c r="F24" s="332" t="s">
        <v>94</v>
      </c>
      <c r="G24" s="333"/>
      <c r="H24" s="333"/>
      <c r="I24" s="333"/>
      <c r="J24" s="334"/>
      <c r="N24"/>
      <c r="O24"/>
    </row>
    <row r="25" spans="2:15" s="57" customFormat="1" ht="15">
      <c r="B25" s="20"/>
      <c r="C25" s="72">
        <f>F25-3</f>
        <v>2020</v>
      </c>
      <c r="D25" s="72">
        <f>G25-3</f>
        <v>2021</v>
      </c>
      <c r="E25" s="72">
        <f>G25-2</f>
        <v>2022</v>
      </c>
      <c r="F25" s="75">
        <v>2023</v>
      </c>
      <c r="G25" s="72">
        <v>2024</v>
      </c>
      <c r="H25" s="72">
        <v>2025</v>
      </c>
      <c r="I25" s="72">
        <v>2026</v>
      </c>
      <c r="J25" s="72">
        <v>2027</v>
      </c>
      <c r="N25" s="13" t="s">
        <v>117</v>
      </c>
      <c r="O25" s="12">
        <f>O11*O17+O12*O23</f>
        <v>0.10541549730460048</v>
      </c>
    </row>
    <row r="26" spans="2:15" s="57" customFormat="1" ht="15">
      <c r="B26" s="55" t="s">
        <v>97</v>
      </c>
      <c r="C26" s="250"/>
      <c r="D26" s="27"/>
      <c r="E26" s="27"/>
      <c r="F26" s="54">
        <v>1</v>
      </c>
      <c r="G26" s="54">
        <f>F26+1</f>
        <v>2</v>
      </c>
      <c r="H26" s="54">
        <f>G26+1</f>
        <v>3</v>
      </c>
      <c r="I26" s="54">
        <f>H26+1</f>
        <v>4</v>
      </c>
      <c r="J26" s="54">
        <f>I26+1</f>
        <v>5</v>
      </c>
    </row>
    <row r="27" spans="2:15" s="57" customFormat="1" ht="15">
      <c r="B27" s="65" t="s">
        <v>118</v>
      </c>
      <c r="C27" s="251">
        <v>1679</v>
      </c>
      <c r="D27" s="78">
        <v>1712</v>
      </c>
      <c r="E27" s="78">
        <v>862</v>
      </c>
      <c r="F27" s="89">
        <f>E27*(1+F37)</f>
        <v>862</v>
      </c>
      <c r="G27" s="90">
        <f>F27*(1+G37)</f>
        <v>862</v>
      </c>
      <c r="H27" s="90">
        <f>G27*(1+H37)</f>
        <v>862</v>
      </c>
      <c r="I27" s="90">
        <f>H27*(1+I37)</f>
        <v>862</v>
      </c>
      <c r="J27" s="90">
        <f>I27*(1+J37)</f>
        <v>862</v>
      </c>
    </row>
    <row r="28" spans="2:15" s="57" customFormat="1" ht="15">
      <c r="B28" s="48" t="s">
        <v>119</v>
      </c>
      <c r="C28" s="252">
        <v>276</v>
      </c>
      <c r="D28" s="91">
        <v>297</v>
      </c>
      <c r="E28" s="91">
        <v>300</v>
      </c>
      <c r="F28" s="89">
        <f>E28*(1+F38)</f>
        <v>303</v>
      </c>
      <c r="G28" s="90">
        <f>F28*(1+G38)</f>
        <v>304.51499999999999</v>
      </c>
      <c r="H28" s="90">
        <f>G28*(1+H38)</f>
        <v>306.03757499999995</v>
      </c>
      <c r="I28" s="90">
        <f>H28*(1+I38)</f>
        <v>307.56776287499991</v>
      </c>
      <c r="J28" s="90">
        <f>I28*(1+J38)</f>
        <v>309.10560168937491</v>
      </c>
    </row>
    <row r="29" spans="2:15" s="57" customFormat="1" ht="15">
      <c r="B29" s="48" t="s">
        <v>120</v>
      </c>
      <c r="C29" s="246">
        <v>3774</v>
      </c>
      <c r="D29" s="85">
        <v>4383</v>
      </c>
      <c r="E29" s="85">
        <v>4267</v>
      </c>
      <c r="F29" s="89">
        <f>E29*(1+F39)</f>
        <v>4160.3249999999998</v>
      </c>
      <c r="G29" s="90">
        <f>F29*(1+G39)</f>
        <v>4077.1184999999996</v>
      </c>
      <c r="H29" s="90">
        <f>G29*(1+H39)</f>
        <v>4015.9617224999997</v>
      </c>
      <c r="I29" s="90">
        <f>H29*(1+I39)</f>
        <v>3975.8021052749996</v>
      </c>
      <c r="J29" s="90">
        <f>I29*(1+J39)</f>
        <v>3955.9230947486244</v>
      </c>
    </row>
    <row r="30" spans="2:15" s="57" customFormat="1" ht="15">
      <c r="B30" s="48" t="s">
        <v>121</v>
      </c>
      <c r="C30" s="246">
        <v>455</v>
      </c>
      <c r="D30" s="85">
        <v>366</v>
      </c>
      <c r="E30" s="85">
        <v>424</v>
      </c>
      <c r="F30" s="89">
        <f>E30*(1+F40)</f>
        <v>436.72</v>
      </c>
      <c r="G30" s="90">
        <f>F30*(1+G40)</f>
        <v>447.63799999999998</v>
      </c>
      <c r="H30" s="90">
        <f>G30*(1+H40)</f>
        <v>456.59075999999999</v>
      </c>
      <c r="I30" s="90">
        <f>H30*(1+I40)</f>
        <v>463.43962139999996</v>
      </c>
      <c r="J30" s="90">
        <f>I30*(1+J40)</f>
        <v>468.07401761399996</v>
      </c>
    </row>
    <row r="31" spans="2:15" s="57" customFormat="1" ht="15">
      <c r="B31" s="48"/>
      <c r="C31" s="246"/>
      <c r="D31" s="85"/>
      <c r="E31" s="85"/>
      <c r="F31" s="89"/>
      <c r="G31" s="90"/>
      <c r="H31" s="90"/>
      <c r="I31" s="90"/>
      <c r="J31" s="90"/>
    </row>
    <row r="32" spans="2:15" s="57" customFormat="1" ht="15">
      <c r="B32" s="65"/>
      <c r="C32" s="253"/>
      <c r="D32" s="64"/>
      <c r="E32" s="63"/>
      <c r="F32" s="249"/>
    </row>
    <row r="33" spans="1:10" s="57" customFormat="1" ht="15">
      <c r="B33" s="48" t="s">
        <v>122</v>
      </c>
      <c r="C33" s="251">
        <v>2927</v>
      </c>
      <c r="D33" s="78">
        <v>3086</v>
      </c>
      <c r="E33" s="78">
        <v>2750</v>
      </c>
      <c r="F33" s="248">
        <f>E33*(1+F$41)</f>
        <v>2667.5</v>
      </c>
      <c r="G33" s="80">
        <f>F33*(1+G$41)</f>
        <v>2587.4749999999999</v>
      </c>
      <c r="H33" s="80">
        <f>G33*(1+H$41)</f>
        <v>2509.8507500000001</v>
      </c>
      <c r="I33" s="80">
        <f>H33*(1+I$41)</f>
        <v>2434.5552275</v>
      </c>
      <c r="J33" s="80">
        <f>I33*(1+J$41)</f>
        <v>2361.5185706749999</v>
      </c>
    </row>
    <row r="34" spans="1:10" s="57" customFormat="1" ht="15">
      <c r="B34" s="65" t="s">
        <v>123</v>
      </c>
      <c r="C34" s="246">
        <f>4407+3185+908+1296</f>
        <v>9796</v>
      </c>
      <c r="D34" s="85">
        <f>3295+3098+983+1177</f>
        <v>8553</v>
      </c>
      <c r="E34" s="85">
        <f>2996+2963+947+1017</f>
        <v>7923</v>
      </c>
      <c r="F34" s="248">
        <f>E34*(1+F$43)</f>
        <v>7923</v>
      </c>
      <c r="G34" s="80">
        <f>F34*(1+G$43)</f>
        <v>7923</v>
      </c>
      <c r="H34" s="80">
        <f>G34*(1+H$43)</f>
        <v>7938.8460000000005</v>
      </c>
      <c r="I34" s="80">
        <f>H34*(1+I$43)</f>
        <v>8018.2344600000006</v>
      </c>
      <c r="J34" s="80">
        <f>I34*(1+J$43)</f>
        <v>8208.2666167020016</v>
      </c>
    </row>
    <row r="35" spans="1:10" s="57" customFormat="1" ht="15">
      <c r="B35" s="65"/>
      <c r="C35" s="253"/>
      <c r="D35" s="64"/>
      <c r="E35" s="63"/>
      <c r="F35" s="249"/>
    </row>
    <row r="36" spans="1:10" s="57" customFormat="1" ht="15">
      <c r="B36" s="65" t="s">
        <v>124</v>
      </c>
      <c r="C36" s="246">
        <v>466</v>
      </c>
      <c r="D36" s="246">
        <v>597</v>
      </c>
      <c r="E36" s="85">
        <v>1295</v>
      </c>
      <c r="F36" s="249">
        <f>E36*(1+F$42)</f>
        <v>1003.625</v>
      </c>
      <c r="G36" s="92">
        <f>F36*(1+G$42)</f>
        <v>1033.7337500000001</v>
      </c>
      <c r="H36" s="92">
        <f>G36*(1+H$42)</f>
        <v>1064.7457625000002</v>
      </c>
      <c r="I36" s="92">
        <f>H36*(1+I$42)</f>
        <v>1096.6881353750002</v>
      </c>
      <c r="J36" s="92">
        <f>I36*(1+J$42)</f>
        <v>1129.5887794362502</v>
      </c>
    </row>
    <row r="37" spans="1:10" s="57" customFormat="1" ht="15">
      <c r="B37" s="65"/>
      <c r="C37" s="65"/>
      <c r="D37" s="64"/>
      <c r="E37" s="63"/>
      <c r="F37" s="249"/>
    </row>
    <row r="38" spans="1:10" s="57" customFormat="1" ht="15">
      <c r="B38" s="62" t="s">
        <v>125</v>
      </c>
      <c r="C38" s="60"/>
      <c r="D38" s="256"/>
      <c r="E38" s="256"/>
      <c r="F38" s="267">
        <v>0.01</v>
      </c>
      <c r="G38" s="268">
        <v>5.0000000000000001E-3</v>
      </c>
      <c r="H38" s="268">
        <v>5.0000000000000001E-3</v>
      </c>
      <c r="I38" s="268">
        <v>5.0000000000000001E-3</v>
      </c>
      <c r="J38" s="268">
        <v>5.0000000000000001E-3</v>
      </c>
    </row>
    <row r="39" spans="1:10" s="57" customFormat="1" ht="15">
      <c r="B39" s="62" t="s">
        <v>126</v>
      </c>
      <c r="C39" s="60"/>
      <c r="D39" s="59"/>
      <c r="E39" s="58"/>
      <c r="F39" s="267">
        <v>-2.5000000000000001E-2</v>
      </c>
      <c r="G39" s="268">
        <v>-0.02</v>
      </c>
      <c r="H39" s="268">
        <v>-1.4999999999999999E-2</v>
      </c>
      <c r="I39" s="268">
        <v>-0.01</v>
      </c>
      <c r="J39" s="268">
        <v>-5.0000000000000001E-3</v>
      </c>
    </row>
    <row r="40" spans="1:10" s="57" customFormat="1" ht="15">
      <c r="B40" s="62" t="s">
        <v>127</v>
      </c>
      <c r="C40" s="60"/>
      <c r="D40" s="59"/>
      <c r="E40" s="58"/>
      <c r="F40" s="267">
        <v>0.03</v>
      </c>
      <c r="G40" s="268">
        <v>2.5000000000000001E-2</v>
      </c>
      <c r="H40" s="268">
        <v>0.02</v>
      </c>
      <c r="I40" s="268">
        <v>1.4999999999999999E-2</v>
      </c>
      <c r="J40" s="268">
        <v>0.01</v>
      </c>
    </row>
    <row r="41" spans="1:10" s="57" customFormat="1" ht="15">
      <c r="B41" s="62" t="s">
        <v>128</v>
      </c>
      <c r="C41" s="60"/>
      <c r="D41" s="59"/>
      <c r="E41" s="58"/>
      <c r="F41" s="267">
        <v>-0.03</v>
      </c>
      <c r="G41" s="268">
        <v>-0.03</v>
      </c>
      <c r="H41" s="268">
        <v>-0.03</v>
      </c>
      <c r="I41" s="268">
        <v>-0.03</v>
      </c>
      <c r="J41" s="268">
        <v>-0.03</v>
      </c>
    </row>
    <row r="42" spans="1:10" s="57" customFormat="1" ht="15">
      <c r="B42" s="61" t="s">
        <v>129</v>
      </c>
      <c r="C42" s="60"/>
      <c r="D42" s="59"/>
      <c r="E42" s="58"/>
      <c r="F42" s="267">
        <v>-0.22500000000000001</v>
      </c>
      <c r="G42" s="268">
        <v>0.03</v>
      </c>
      <c r="H42" s="268">
        <v>0.03</v>
      </c>
      <c r="I42" s="268">
        <v>0.03</v>
      </c>
      <c r="J42" s="268">
        <v>0.03</v>
      </c>
    </row>
    <row r="43" spans="1:10" s="57" customFormat="1" ht="15">
      <c r="B43" s="61" t="s">
        <v>130</v>
      </c>
      <c r="C43" s="60"/>
      <c r="D43" s="59"/>
      <c r="E43" s="58"/>
      <c r="F43" s="267">
        <v>0</v>
      </c>
      <c r="G43" s="268">
        <v>0</v>
      </c>
      <c r="H43" s="268">
        <v>2E-3</v>
      </c>
      <c r="I43" s="268">
        <v>0.01</v>
      </c>
      <c r="J43" s="268">
        <v>2.3699999999999999E-2</v>
      </c>
    </row>
    <row r="44" spans="1:10" s="57" customFormat="1" ht="15">
      <c r="B44" s="61"/>
      <c r="C44" s="60"/>
      <c r="D44" s="59"/>
      <c r="E44" s="58"/>
      <c r="F44" s="268"/>
      <c r="G44" s="268"/>
      <c r="H44" s="268"/>
      <c r="I44" s="268"/>
      <c r="J44" s="268"/>
    </row>
    <row r="45" spans="1:10" s="57" customFormat="1" ht="15">
      <c r="B45" s="61"/>
      <c r="C45" s="60"/>
      <c r="D45" s="59"/>
      <c r="E45" s="58"/>
      <c r="F45" s="268"/>
      <c r="G45" s="268"/>
      <c r="H45" s="268"/>
      <c r="I45" s="268"/>
      <c r="J45" s="268"/>
    </row>
    <row r="46" spans="1:10" s="19" customFormat="1" ht="18.75">
      <c r="A46" s="96"/>
      <c r="B46" s="86"/>
      <c r="C46" s="86"/>
      <c r="D46" s="86"/>
      <c r="E46" s="86"/>
      <c r="F46" s="86"/>
      <c r="G46" s="86"/>
      <c r="H46" s="86"/>
      <c r="I46" s="86"/>
      <c r="J46" s="86"/>
    </row>
    <row r="47" spans="1:10" s="19" customFormat="1" ht="15">
      <c r="B47" s="56" t="s">
        <v>131</v>
      </c>
      <c r="C47" s="93"/>
      <c r="D47" s="94"/>
      <c r="E47" s="95"/>
      <c r="F47" s="332" t="s">
        <v>94</v>
      </c>
      <c r="G47" s="333"/>
      <c r="H47" s="333"/>
      <c r="I47" s="333"/>
      <c r="J47" s="334"/>
    </row>
    <row r="48" spans="1:10" s="19" customFormat="1" ht="15">
      <c r="B48" s="20"/>
      <c r="C48" s="72">
        <f>F48-3</f>
        <v>2020</v>
      </c>
      <c r="D48" s="72">
        <f>F48-2</f>
        <v>2021</v>
      </c>
      <c r="E48" s="72">
        <f>F48-1</f>
        <v>2022</v>
      </c>
      <c r="F48" s="75">
        <v>2023</v>
      </c>
      <c r="G48" s="72">
        <f>$F$9+F49</f>
        <v>2024</v>
      </c>
      <c r="H48" s="72">
        <f>$F$9+G49</f>
        <v>2025</v>
      </c>
      <c r="I48" s="72">
        <f>$F$9+H49</f>
        <v>2026</v>
      </c>
      <c r="J48" s="72">
        <f>$F$9+I49</f>
        <v>2027</v>
      </c>
    </row>
    <row r="49" spans="2:10" s="19" customFormat="1" ht="15">
      <c r="B49" s="55" t="s">
        <v>97</v>
      </c>
      <c r="C49" s="27"/>
      <c r="D49" s="27"/>
      <c r="E49" s="27"/>
      <c r="F49" s="54">
        <v>1</v>
      </c>
      <c r="G49" s="54">
        <f>F49+1</f>
        <v>2</v>
      </c>
      <c r="H49" s="54">
        <f>G49+1</f>
        <v>3</v>
      </c>
      <c r="I49" s="54">
        <f>H49+1</f>
        <v>4</v>
      </c>
      <c r="J49" s="54">
        <f>I49+1</f>
        <v>5</v>
      </c>
    </row>
    <row r="50" spans="2:10" s="19" customFormat="1" ht="15">
      <c r="B50" s="19" t="s">
        <v>132</v>
      </c>
      <c r="C50" s="53"/>
      <c r="D50" s="53"/>
      <c r="E50" s="52"/>
      <c r="F50" s="52">
        <f>F11</f>
        <v>24197.579999999998</v>
      </c>
      <c r="G50" s="52">
        <f>G11</f>
        <v>23471.652599999998</v>
      </c>
      <c r="H50" s="52">
        <f>H11</f>
        <v>22298.069969999997</v>
      </c>
      <c r="I50" s="52">
        <f>I11</f>
        <v>21004.781911739996</v>
      </c>
      <c r="J50" s="52">
        <f>J11</f>
        <v>19744.494997035596</v>
      </c>
    </row>
    <row r="51" spans="2:10" s="19" customFormat="1" ht="15">
      <c r="B51" s="51" t="s">
        <v>103</v>
      </c>
      <c r="C51" s="35"/>
      <c r="D51" s="35"/>
      <c r="E51" s="35"/>
      <c r="F51" s="222">
        <f>F14</f>
        <v>2177.7821999999996</v>
      </c>
      <c r="G51" s="222">
        <f>G14</f>
        <v>2112.4487339999996</v>
      </c>
      <c r="H51" s="222">
        <f>H14</f>
        <v>1783.8455975999998</v>
      </c>
      <c r="I51" s="222">
        <f>I14</f>
        <v>1260.2869147043998</v>
      </c>
      <c r="J51" s="222">
        <f>J14</f>
        <v>987.22474985177985</v>
      </c>
    </row>
    <row r="52" spans="2:10" s="19" customFormat="1" ht="15">
      <c r="B52" s="19" t="s">
        <v>107</v>
      </c>
      <c r="C52" s="35"/>
      <c r="D52" s="35"/>
      <c r="E52" s="35"/>
      <c r="F52" s="222">
        <f>F17</f>
        <v>1451.8547999999998</v>
      </c>
      <c r="G52" s="222">
        <f>G17</f>
        <v>1173.5826299999999</v>
      </c>
      <c r="H52" s="222">
        <f>H17</f>
        <v>891.9227987999999</v>
      </c>
      <c r="I52" s="222">
        <f>I17</f>
        <v>420.09563823479994</v>
      </c>
      <c r="J52" s="222">
        <f>J17</f>
        <v>394.88989994071193</v>
      </c>
    </row>
    <row r="53" spans="2:10" s="19" customFormat="1" ht="15">
      <c r="B53" s="19" t="s">
        <v>133</v>
      </c>
      <c r="C53" s="50"/>
      <c r="D53" s="50"/>
      <c r="E53" s="50"/>
      <c r="F53" s="97">
        <v>0.21</v>
      </c>
      <c r="G53" s="97">
        <v>0.21</v>
      </c>
      <c r="H53" s="97">
        <v>0.21</v>
      </c>
      <c r="I53" s="97">
        <v>0.21</v>
      </c>
      <c r="J53" s="97">
        <v>0.21</v>
      </c>
    </row>
    <row r="54" spans="2:10" s="19" customFormat="1" ht="15">
      <c r="B54" s="20" t="s">
        <v>134</v>
      </c>
      <c r="C54" s="46"/>
      <c r="D54" s="46"/>
      <c r="E54" s="46"/>
      <c r="F54" s="33">
        <f>F52*(1-F53)</f>
        <v>1146.9652919999999</v>
      </c>
      <c r="G54" s="33">
        <f>G52*(1-G53)</f>
        <v>927.13027769999997</v>
      </c>
      <c r="H54" s="33">
        <f>H52*(1-H53)</f>
        <v>704.61901105199991</v>
      </c>
      <c r="I54" s="33">
        <f>I52*(1-I53)</f>
        <v>331.87555420549194</v>
      </c>
      <c r="J54" s="33">
        <f>J52*(1-J53)</f>
        <v>311.96302095316241</v>
      </c>
    </row>
    <row r="55" spans="2:10" s="19" customFormat="1" ht="15">
      <c r="B55" s="47" t="s">
        <v>135</v>
      </c>
      <c r="C55" s="37"/>
      <c r="D55" s="37"/>
      <c r="E55" s="37"/>
      <c r="F55" s="49">
        <f>F20</f>
        <v>822.71771999999999</v>
      </c>
      <c r="G55" s="49">
        <f>G20</f>
        <v>774.56453579999993</v>
      </c>
      <c r="H55" s="49">
        <f>H20</f>
        <v>713.53823903999989</v>
      </c>
      <c r="I55" s="49">
        <f>I20</f>
        <v>651.1482392639399</v>
      </c>
      <c r="J55" s="49">
        <f>J20</f>
        <v>592.33484991106786</v>
      </c>
    </row>
    <row r="56" spans="2:10" s="19" customFormat="1" ht="15">
      <c r="B56" s="48" t="s">
        <v>136</v>
      </c>
      <c r="C56" s="37"/>
      <c r="D56" s="37"/>
      <c r="E56" s="37"/>
      <c r="F56" s="37">
        <f>-(F28-E28)</f>
        <v>-3</v>
      </c>
      <c r="G56" s="37">
        <f>-(G28-F28)</f>
        <v>-1.5149999999999864</v>
      </c>
      <c r="H56" s="37">
        <f>-(H28-G28)</f>
        <v>-1.5225749999999607</v>
      </c>
      <c r="I56" s="37">
        <f>-(I28-H28)</f>
        <v>-1.5301878749999673</v>
      </c>
      <c r="J56" s="37">
        <f>-(J28-I28)</f>
        <v>-1.537838814374993</v>
      </c>
    </row>
    <row r="57" spans="2:10" s="19" customFormat="1" ht="15">
      <c r="B57" s="48" t="s">
        <v>120</v>
      </c>
      <c r="C57" s="37"/>
      <c r="D57" s="37"/>
      <c r="E57" s="37"/>
      <c r="F57" s="37">
        <f>-(F29-E29)</f>
        <v>106.67500000000018</v>
      </c>
      <c r="G57" s="37">
        <f>-(G29-F29)</f>
        <v>83.206500000000233</v>
      </c>
      <c r="H57" s="37">
        <f>-(H29-G29)</f>
        <v>61.156777499999862</v>
      </c>
      <c r="I57" s="37">
        <f>-(I29-H29)</f>
        <v>40.159617225000147</v>
      </c>
      <c r="J57" s="37">
        <f>-(J29-I29)</f>
        <v>19.879010526375168</v>
      </c>
    </row>
    <row r="58" spans="2:10" s="19" customFormat="1" ht="15">
      <c r="B58" s="48" t="s">
        <v>137</v>
      </c>
      <c r="C58" s="37"/>
      <c r="D58" s="37"/>
      <c r="E58" s="37"/>
      <c r="F58" s="37">
        <f>-(F30-E30)</f>
        <v>-12.720000000000027</v>
      </c>
      <c r="G58" s="37">
        <f>-(G30-F30)</f>
        <v>-10.91799999999995</v>
      </c>
      <c r="H58" s="37">
        <f>-(H30-G30)</f>
        <v>-8.952760000000012</v>
      </c>
      <c r="I58" s="37">
        <f>-(I30-H30)</f>
        <v>-6.8488613999999757</v>
      </c>
      <c r="J58" s="37">
        <f>-(J30-I30)</f>
        <v>-4.6343962139999917</v>
      </c>
    </row>
    <row r="59" spans="2:10" s="19" customFormat="1" ht="15">
      <c r="B59" s="48" t="s">
        <v>138</v>
      </c>
      <c r="C59" s="37"/>
      <c r="D59" s="37"/>
      <c r="E59" s="37"/>
      <c r="F59" s="37">
        <f>F33-E33</f>
        <v>-82.5</v>
      </c>
      <c r="G59" s="37">
        <f>G33-F33</f>
        <v>-80.025000000000091</v>
      </c>
      <c r="H59" s="37">
        <f>H33-G33</f>
        <v>-77.624249999999847</v>
      </c>
      <c r="I59" s="37">
        <f>I33-H33</f>
        <v>-75.295522500000061</v>
      </c>
      <c r="J59" s="37">
        <f>J33-I33</f>
        <v>-73.036656825000136</v>
      </c>
    </row>
    <row r="60" spans="2:10" s="19" customFormat="1" ht="15">
      <c r="B60" s="48"/>
      <c r="C60" s="37"/>
      <c r="D60" s="37"/>
      <c r="E60" s="37"/>
      <c r="F60" s="37"/>
      <c r="G60" s="37"/>
      <c r="H60" s="37"/>
      <c r="I60" s="37"/>
      <c r="J60" s="37"/>
    </row>
    <row r="61" spans="2:10" s="19" customFormat="1" ht="15">
      <c r="B61" s="47" t="s">
        <v>139</v>
      </c>
      <c r="C61" s="37"/>
      <c r="D61" s="37"/>
      <c r="E61" s="37"/>
      <c r="F61" s="37">
        <f>-(F36-E36)</f>
        <v>291.375</v>
      </c>
      <c r="G61" s="37">
        <f>-(G36-F36)</f>
        <v>-30.1087500000001</v>
      </c>
      <c r="H61" s="37">
        <f>-(H36-G36)</f>
        <v>-31.012012500000083</v>
      </c>
      <c r="I61" s="37">
        <f>-(I36-H36)</f>
        <v>-31.942372875000046</v>
      </c>
      <c r="J61" s="37">
        <f>-(J36-I36)</f>
        <v>-32.900644061249977</v>
      </c>
    </row>
    <row r="62" spans="2:10" s="19" customFormat="1" ht="15">
      <c r="B62" s="20" t="s">
        <v>140</v>
      </c>
      <c r="C62" s="46"/>
      <c r="D62" s="46"/>
      <c r="E62" s="46"/>
      <c r="F62" s="33">
        <f>SUM(F54:F61)</f>
        <v>2269.5130120000003</v>
      </c>
      <c r="G62" s="33">
        <f>SUM(G54:G61)</f>
        <v>1662.3345635000001</v>
      </c>
      <c r="H62" s="33">
        <f>SUM(H54:H61)</f>
        <v>1360.2024300919995</v>
      </c>
      <c r="I62" s="33">
        <f>SUM(I54:I61)</f>
        <v>907.56646604443199</v>
      </c>
      <c r="J62" s="33">
        <f>SUM(J54:J61)</f>
        <v>812.06734547598035</v>
      </c>
    </row>
    <row r="63" spans="2:10" s="19" customFormat="1" ht="15">
      <c r="B63" s="32" t="s">
        <v>141</v>
      </c>
      <c r="C63" s="45"/>
      <c r="D63" s="44"/>
      <c r="E63" s="44"/>
      <c r="F63" s="44">
        <f>$O$25</f>
        <v>0.10541549730460048</v>
      </c>
      <c r="G63" s="44">
        <f>$O$25</f>
        <v>0.10541549730460048</v>
      </c>
      <c r="H63" s="44">
        <f>$O$25</f>
        <v>0.10541549730460048</v>
      </c>
      <c r="I63" s="44">
        <f>$O$25</f>
        <v>0.10541549730460048</v>
      </c>
      <c r="J63" s="44">
        <f>$O$25</f>
        <v>0.10541549730460048</v>
      </c>
    </row>
    <row r="64" spans="2:10" s="19" customFormat="1" ht="15">
      <c r="B64" s="32" t="s">
        <v>142</v>
      </c>
      <c r="C64" s="36"/>
      <c r="D64" s="36"/>
      <c r="E64" s="36"/>
      <c r="F64" s="36">
        <f>F62/(1+F63)^F49</f>
        <v>2053.0859369475888</v>
      </c>
      <c r="G64" s="36">
        <f>G62/(1+G63)^G49</f>
        <v>1360.4022363105184</v>
      </c>
      <c r="H64" s="36">
        <f>H62/(1+H63)^H49</f>
        <v>1006.9940393123022</v>
      </c>
      <c r="I64" s="36">
        <f>I62/(1+I63)^I49</f>
        <v>607.82176204824998</v>
      </c>
      <c r="J64" s="36">
        <f>J62/(1+J63)^J49</f>
        <v>491.99909385464065</v>
      </c>
    </row>
    <row r="65" spans="2:7" s="19" customFormat="1" ht="15">
      <c r="B65" s="20" t="s">
        <v>143</v>
      </c>
      <c r="C65" s="33">
        <f>SUM(F64:J64)</f>
        <v>5520.3030684733003</v>
      </c>
    </row>
    <row r="66" spans="2:7" s="19" customFormat="1" ht="15"/>
    <row r="67" spans="2:7" s="19" customFormat="1" ht="18.75">
      <c r="B67" s="86" t="s">
        <v>144</v>
      </c>
      <c r="C67" s="86"/>
    </row>
    <row r="68" spans="2:7" s="19" customFormat="1" ht="15">
      <c r="B68" s="43" t="s">
        <v>145</v>
      </c>
      <c r="C68" s="258"/>
      <c r="F68" s="22"/>
      <c r="G68" s="258"/>
    </row>
    <row r="69" spans="2:7" s="19" customFormat="1" ht="15">
      <c r="B69" s="19" t="s">
        <v>146</v>
      </c>
      <c r="C69" s="40">
        <v>0.01</v>
      </c>
      <c r="F69" s="32"/>
      <c r="G69" s="40"/>
    </row>
    <row r="70" spans="2:7" s="19" customFormat="1" ht="15">
      <c r="B70" s="19" t="s">
        <v>117</v>
      </c>
      <c r="C70" s="41">
        <f>O25</f>
        <v>0.10541549730460048</v>
      </c>
      <c r="F70" s="32"/>
      <c r="G70" s="40"/>
    </row>
    <row r="71" spans="2:7" s="19" customFormat="1" ht="15">
      <c r="B71" s="19" t="s">
        <v>147</v>
      </c>
      <c r="C71" s="39">
        <f>J62*(1+C69)</f>
        <v>820.18801893074021</v>
      </c>
      <c r="F71" s="32"/>
      <c r="G71" s="39"/>
    </row>
    <row r="72" spans="2:7" s="19" customFormat="1" ht="15">
      <c r="B72" s="19" t="s">
        <v>144</v>
      </c>
      <c r="C72" s="39">
        <f>C71/(C70-C69)</f>
        <v>8595.9623132540619</v>
      </c>
      <c r="F72" s="32"/>
      <c r="G72" s="39"/>
    </row>
    <row r="73" spans="2:7" s="19" customFormat="1" ht="15">
      <c r="B73" s="20" t="s">
        <v>148</v>
      </c>
      <c r="C73" s="38">
        <f>C72/(1+J63)^J49</f>
        <v>5207.949429921674</v>
      </c>
      <c r="F73" s="32"/>
      <c r="G73" s="34"/>
    </row>
    <row r="74" spans="2:7" s="19" customFormat="1" ht="15">
      <c r="C74" s="255"/>
    </row>
    <row r="75" spans="2:7" s="19" customFormat="1" ht="15">
      <c r="C75" s="255"/>
    </row>
    <row r="76" spans="2:7" s="19" customFormat="1" ht="18.75">
      <c r="B76" s="86" t="s">
        <v>149</v>
      </c>
      <c r="C76" s="86"/>
      <c r="D76" s="86"/>
    </row>
    <row r="77" spans="2:7" s="19" customFormat="1" ht="15">
      <c r="B77" s="19" t="s">
        <v>150</v>
      </c>
      <c r="C77" s="34"/>
      <c r="D77" s="36">
        <f>C73+C65</f>
        <v>10728.252498394973</v>
      </c>
    </row>
    <row r="78" spans="2:7" s="19" customFormat="1" ht="15">
      <c r="B78" s="19" t="s">
        <v>151</v>
      </c>
      <c r="C78" s="31"/>
      <c r="D78" s="35">
        <f>E34-E27</f>
        <v>7061</v>
      </c>
      <c r="E78" s="32"/>
      <c r="F78" s="34"/>
    </row>
    <row r="79" spans="2:7" s="19" customFormat="1" ht="15">
      <c r="B79" s="20" t="s">
        <v>35</v>
      </c>
      <c r="D79" s="33">
        <f>(D77-D78)*1000000</f>
        <v>3667252498.3949733</v>
      </c>
      <c r="E79" s="32"/>
      <c r="F79" s="31"/>
    </row>
    <row r="80" spans="2:7" s="19" customFormat="1" ht="15">
      <c r="B80" s="19" t="s">
        <v>90</v>
      </c>
      <c r="D80" s="30">
        <f>D5</f>
        <v>282000000</v>
      </c>
      <c r="E80" s="22"/>
      <c r="F80" s="29"/>
    </row>
    <row r="81" spans="2:6" s="19" customFormat="1" ht="15">
      <c r="B81" s="28" t="s">
        <v>152</v>
      </c>
      <c r="C81" s="27"/>
      <c r="D81" s="26">
        <f>D79/D80</f>
        <v>13.004441483670117</v>
      </c>
      <c r="E81" s="25"/>
      <c r="F81" s="24"/>
    </row>
    <row r="82" spans="2:6" s="19" customFormat="1" ht="15">
      <c r="D82" s="23"/>
      <c r="E82" s="22"/>
      <c r="F82" s="21"/>
    </row>
    <row r="83" spans="2:6" s="255" customFormat="1" ht="15">
      <c r="B83" s="20"/>
    </row>
    <row r="84" spans="2:6" s="255" customFormat="1" ht="15">
      <c r="B84" s="19"/>
    </row>
  </sheetData>
  <mergeCells count="5">
    <mergeCell ref="B1:O1"/>
    <mergeCell ref="N7:O7"/>
    <mergeCell ref="F8:J8"/>
    <mergeCell ref="F24:J24"/>
    <mergeCell ref="F47:J47"/>
  </mergeCells>
  <pageMargins left="0.7" right="0.7" top="0.75" bottom="0.75" header="0.3" footer="0.3"/>
  <pageSetup orientation="portrait" horizontalDpi="4294967294"/>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0D149-4A9A-4F6A-B233-177CC0A3A0BB}">
  <sheetPr>
    <tabColor theme="5" tint="0.39997558519241921"/>
  </sheetPr>
  <dimension ref="A1:O84"/>
  <sheetViews>
    <sheetView showGridLines="0" tabSelected="1" topLeftCell="G9" zoomScale="70" zoomScaleNormal="70" workbookViewId="0">
      <selection activeCell="E85" sqref="E85"/>
    </sheetView>
  </sheetViews>
  <sheetFormatPr defaultColWidth="8.85546875" defaultRowHeight="12.75" customHeight="1"/>
  <cols>
    <col min="1" max="1" width="1.5703125" style="17" customWidth="1"/>
    <col min="2" max="2" width="37.42578125" style="17" customWidth="1"/>
    <col min="3" max="3" width="12.42578125" style="17" customWidth="1"/>
    <col min="4" max="4" width="20" style="17" customWidth="1"/>
    <col min="5" max="5" width="12.42578125" style="254" customWidth="1"/>
    <col min="6" max="10" width="12.42578125" style="17" customWidth="1"/>
    <col min="11" max="13" width="9.140625" style="17"/>
    <col min="14" max="14" width="34" style="17" customWidth="1"/>
    <col min="15" max="15" width="38" style="17" customWidth="1"/>
    <col min="16" max="16384" width="8.85546875" style="17"/>
  </cols>
  <sheetData>
    <row r="1" spans="1:15" s="67" customFormat="1" ht="28.5">
      <c r="A1" s="68"/>
      <c r="B1" s="326" t="s">
        <v>87</v>
      </c>
      <c r="C1" s="326"/>
      <c r="D1" s="326"/>
      <c r="E1" s="326"/>
      <c r="F1" s="326"/>
      <c r="G1" s="326"/>
      <c r="H1" s="326"/>
      <c r="I1" s="326"/>
      <c r="J1" s="326"/>
      <c r="K1" s="326"/>
      <c r="L1" s="326"/>
      <c r="M1" s="326"/>
      <c r="N1" s="326"/>
      <c r="O1" s="326"/>
    </row>
    <row r="2" spans="1:15">
      <c r="B2" s="66"/>
      <c r="C2" s="66"/>
      <c r="D2" s="66"/>
    </row>
    <row r="3" spans="1:15" s="57" customFormat="1" ht="15">
      <c r="B3" s="65" t="s">
        <v>88</v>
      </c>
      <c r="C3" s="64"/>
      <c r="D3" s="69">
        <v>45343</v>
      </c>
    </row>
    <row r="4" spans="1:15" s="57" customFormat="1" ht="15">
      <c r="B4" s="65" t="s">
        <v>89</v>
      </c>
      <c r="C4" s="64"/>
      <c r="D4" s="70">
        <v>18.989999999999998</v>
      </c>
    </row>
    <row r="5" spans="1:15" s="57" customFormat="1" ht="15">
      <c r="B5" s="65" t="s">
        <v>90</v>
      </c>
      <c r="C5" s="64"/>
      <c r="D5" s="71">
        <v>282000000</v>
      </c>
    </row>
    <row r="6" spans="1:15" s="57" customFormat="1" ht="15">
      <c r="B6" s="65" t="s">
        <v>91</v>
      </c>
      <c r="C6" s="64"/>
      <c r="D6" s="71">
        <f>D4*D5</f>
        <v>5355180000</v>
      </c>
    </row>
    <row r="7" spans="1:15" s="57" customFormat="1" ht="15">
      <c r="B7" s="65"/>
      <c r="C7" s="64"/>
      <c r="D7" s="63"/>
    </row>
    <row r="8" spans="1:15" s="57" customFormat="1" ht="18.75">
      <c r="B8" s="86" t="s">
        <v>92</v>
      </c>
      <c r="C8" s="86"/>
      <c r="D8" s="86"/>
      <c r="E8" s="86"/>
      <c r="F8" s="86"/>
      <c r="G8" s="86"/>
      <c r="H8" s="86"/>
      <c r="I8" s="86"/>
      <c r="J8" s="86"/>
      <c r="N8" s="327" t="s">
        <v>93</v>
      </c>
      <c r="O8" s="328"/>
    </row>
    <row r="9" spans="1:15" s="57" customFormat="1" ht="15">
      <c r="B9" s="65"/>
      <c r="C9" s="87"/>
      <c r="D9" s="88"/>
      <c r="E9" s="88"/>
      <c r="F9" s="329" t="s">
        <v>94</v>
      </c>
      <c r="G9" s="330"/>
      <c r="H9" s="330"/>
      <c r="I9" s="330"/>
      <c r="J9" s="331"/>
      <c r="N9" s="3" t="s">
        <v>95</v>
      </c>
      <c r="O9" s="4"/>
    </row>
    <row r="10" spans="1:15" s="57" customFormat="1" ht="15">
      <c r="B10" s="20"/>
      <c r="C10" s="263">
        <f>F10-3</f>
        <v>2020</v>
      </c>
      <c r="D10" s="72">
        <f>G10-3</f>
        <v>2021</v>
      </c>
      <c r="E10" s="72">
        <f>G10-2</f>
        <v>2022</v>
      </c>
      <c r="F10" s="75">
        <v>2023</v>
      </c>
      <c r="G10" s="72">
        <f>$F$10+F11</f>
        <v>2024</v>
      </c>
      <c r="H10" s="72">
        <f t="shared" ref="H10:J10" si="0">$F$10+G11</f>
        <v>2025</v>
      </c>
      <c r="I10" s="72">
        <f t="shared" si="0"/>
        <v>2026</v>
      </c>
      <c r="J10" s="72">
        <f t="shared" si="0"/>
        <v>2027</v>
      </c>
      <c r="N10" s="76" t="s">
        <v>96</v>
      </c>
      <c r="O10" s="98">
        <f>E35</f>
        <v>7923</v>
      </c>
    </row>
    <row r="11" spans="1:15" s="57" customFormat="1" ht="15">
      <c r="B11" s="55" t="s">
        <v>97</v>
      </c>
      <c r="C11" s="27"/>
      <c r="D11" s="27"/>
      <c r="E11" s="27"/>
      <c r="F11" s="54">
        <v>1</v>
      </c>
      <c r="G11" s="54">
        <f>F11+1</f>
        <v>2</v>
      </c>
      <c r="H11" s="54">
        <f>G11+1</f>
        <v>3</v>
      </c>
      <c r="I11" s="54">
        <f>H11+1</f>
        <v>4</v>
      </c>
      <c r="J11" s="54">
        <f>I11+1</f>
        <v>5</v>
      </c>
      <c r="N11" s="76" t="s">
        <v>98</v>
      </c>
      <c r="O11" s="98">
        <f>D6/1000000</f>
        <v>5355.18</v>
      </c>
    </row>
    <row r="12" spans="1:15" s="57" customFormat="1" ht="15">
      <c r="B12" s="65" t="s">
        <v>99</v>
      </c>
      <c r="C12" s="77">
        <v>17346</v>
      </c>
      <c r="D12" s="77">
        <v>24460</v>
      </c>
      <c r="E12" s="77">
        <v>24442</v>
      </c>
      <c r="F12" s="79">
        <f>E12*(1+F13)</f>
        <v>24930.84</v>
      </c>
      <c r="G12" s="80">
        <f>F12*(1+G13)</f>
        <v>25678.765200000002</v>
      </c>
      <c r="H12" s="80">
        <f>G12*(1+H13)</f>
        <v>26705.915808000002</v>
      </c>
      <c r="I12" s="80">
        <f>H12*(1+I13)</f>
        <v>27907.68201936</v>
      </c>
      <c r="J12" s="80">
        <f>I12*(1+J13)</f>
        <v>29303.066120328</v>
      </c>
      <c r="N12" s="5" t="s">
        <v>100</v>
      </c>
      <c r="O12" s="6">
        <f>O10/(O10+O11)</f>
        <v>0.5966932215107793</v>
      </c>
    </row>
    <row r="13" spans="1:15" s="57" customFormat="1" ht="15">
      <c r="B13" s="61" t="s">
        <v>101</v>
      </c>
      <c r="C13" s="64"/>
      <c r="D13" s="64"/>
      <c r="E13" s="211">
        <f>(E12-D12)/D12</f>
        <v>-7.3589533932951758E-4</v>
      </c>
      <c r="F13" s="81">
        <v>0.02</v>
      </c>
      <c r="G13" s="82">
        <v>0.03</v>
      </c>
      <c r="H13" s="82">
        <v>0.04</v>
      </c>
      <c r="I13" s="82">
        <v>4.4999999999999998E-2</v>
      </c>
      <c r="J13" s="82">
        <v>0.05</v>
      </c>
      <c r="N13" s="7" t="s">
        <v>102</v>
      </c>
      <c r="O13" s="8">
        <f>1-O12</f>
        <v>0.4033067784892207</v>
      </c>
    </row>
    <row r="14" spans="1:15" s="57" customFormat="1" ht="15">
      <c r="B14" s="65"/>
      <c r="C14" s="64"/>
      <c r="D14" s="64"/>
      <c r="E14" s="63"/>
      <c r="F14" s="76"/>
      <c r="N14"/>
      <c r="O14"/>
    </row>
    <row r="15" spans="1:15" s="57" customFormat="1" ht="15">
      <c r="B15" s="65" t="s">
        <v>103</v>
      </c>
      <c r="C15" s="78">
        <v>-3146</v>
      </c>
      <c r="D15" s="78">
        <v>3194</v>
      </c>
      <c r="E15" s="78">
        <v>2568</v>
      </c>
      <c r="F15" s="83">
        <f>F16*F12</f>
        <v>2493.0840000000003</v>
      </c>
      <c r="G15" s="84">
        <f>G16*G12</f>
        <v>2824.6641720000002</v>
      </c>
      <c r="H15" s="84">
        <f>H16*H12</f>
        <v>3204.7098969600002</v>
      </c>
      <c r="I15" s="84">
        <f>I16*I12</f>
        <v>3627.9986625167999</v>
      </c>
      <c r="J15" s="84">
        <f>J16*J12</f>
        <v>4102.4292568459205</v>
      </c>
      <c r="N15" s="9" t="s">
        <v>104</v>
      </c>
      <c r="O15" s="10"/>
    </row>
    <row r="16" spans="1:15" s="57" customFormat="1" ht="15">
      <c r="B16" s="61" t="s">
        <v>105</v>
      </c>
      <c r="C16" s="211">
        <f>C15/C12</f>
        <v>-0.18136746223913294</v>
      </c>
      <c r="D16" s="211">
        <f>D15/D12</f>
        <v>0.13058053965658217</v>
      </c>
      <c r="E16" s="211">
        <f>E15/E12</f>
        <v>0.10506505195974143</v>
      </c>
      <c r="F16" s="81">
        <v>0.1</v>
      </c>
      <c r="G16" s="82">
        <v>0.11</v>
      </c>
      <c r="H16" s="82">
        <v>0.12</v>
      </c>
      <c r="I16" s="82">
        <v>0.13</v>
      </c>
      <c r="J16" s="82">
        <v>0.14000000000000001</v>
      </c>
      <c r="N16" s="5" t="s">
        <v>104</v>
      </c>
      <c r="O16" s="210">
        <v>0.04</v>
      </c>
    </row>
    <row r="17" spans="2:15" s="57" customFormat="1" ht="15">
      <c r="B17" s="65"/>
      <c r="C17" s="64"/>
      <c r="D17" s="64"/>
      <c r="E17" s="63"/>
      <c r="F17" s="76"/>
      <c r="N17" s="5" t="s">
        <v>106</v>
      </c>
      <c r="O17" s="210">
        <v>0.21</v>
      </c>
    </row>
    <row r="18" spans="2:15" s="57" customFormat="1" ht="15">
      <c r="B18" s="65" t="s">
        <v>107</v>
      </c>
      <c r="C18" s="85">
        <f>C15-C21</f>
        <v>-4105</v>
      </c>
      <c r="D18" s="85">
        <f>D15-D21</f>
        <v>2320</v>
      </c>
      <c r="E18" s="85">
        <f>E15-E21</f>
        <v>1711</v>
      </c>
      <c r="F18" s="83">
        <f>F19*F12</f>
        <v>1994.4672</v>
      </c>
      <c r="G18" s="84">
        <f>G19*G12</f>
        <v>2105.6587464000004</v>
      </c>
      <c r="H18" s="84">
        <f>H19*H12</f>
        <v>2243.2969278720002</v>
      </c>
      <c r="I18" s="84">
        <f>I19*I12</f>
        <v>2372.1529716456002</v>
      </c>
      <c r="J18" s="84">
        <f>J19*J12</f>
        <v>2930.3066120328003</v>
      </c>
      <c r="N18" s="7" t="s">
        <v>108</v>
      </c>
      <c r="O18" s="11">
        <f>O16*(1-O17)</f>
        <v>3.1600000000000003E-2</v>
      </c>
    </row>
    <row r="19" spans="2:15" s="57" customFormat="1" ht="15">
      <c r="B19" s="61" t="s">
        <v>109</v>
      </c>
      <c r="C19" s="211">
        <f>C18/C12</f>
        <v>-0.23665398362734924</v>
      </c>
      <c r="D19" s="211">
        <f>D18/D12</f>
        <v>9.4848732624693372E-2</v>
      </c>
      <c r="E19" s="211">
        <f>E18/E12</f>
        <v>7.0002454790933644E-2</v>
      </c>
      <c r="F19" s="81">
        <v>0.08</v>
      </c>
      <c r="G19" s="82">
        <v>8.2000000000000003E-2</v>
      </c>
      <c r="H19" s="82">
        <v>8.4000000000000005E-2</v>
      </c>
      <c r="I19" s="82">
        <v>8.5000000000000006E-2</v>
      </c>
      <c r="J19" s="82">
        <v>0.1</v>
      </c>
      <c r="N19"/>
      <c r="O19"/>
    </row>
    <row r="20" spans="2:15" s="57" customFormat="1" ht="15">
      <c r="B20" s="65"/>
      <c r="C20" s="64"/>
      <c r="D20" s="64"/>
      <c r="E20" s="63"/>
      <c r="F20" s="76"/>
      <c r="N20" s="9" t="s">
        <v>110</v>
      </c>
      <c r="O20" s="10"/>
    </row>
    <row r="21" spans="2:15" s="57" customFormat="1" ht="15">
      <c r="B21" s="65" t="s">
        <v>111</v>
      </c>
      <c r="C21" s="78">
        <v>959</v>
      </c>
      <c r="D21" s="78">
        <v>874</v>
      </c>
      <c r="E21" s="78">
        <v>857</v>
      </c>
      <c r="F21" s="83">
        <f>F22*F12</f>
        <v>872.57940000000008</v>
      </c>
      <c r="G21" s="84">
        <f>G22*G12</f>
        <v>898.75678200000016</v>
      </c>
      <c r="H21" s="84">
        <f>H22*H12</f>
        <v>908.0011374720001</v>
      </c>
      <c r="I21" s="84">
        <f>I22*I12</f>
        <v>920.95350663888007</v>
      </c>
      <c r="J21" s="84">
        <f>J22*J12</f>
        <v>996.30424809115209</v>
      </c>
      <c r="N21" s="5" t="s">
        <v>112</v>
      </c>
      <c r="O21" s="208">
        <v>4.1000000000000002E-2</v>
      </c>
    </row>
    <row r="22" spans="2:15" s="57" customFormat="1" ht="15">
      <c r="B22" s="61" t="s">
        <v>113</v>
      </c>
      <c r="C22" s="211">
        <f>C21/C12</f>
        <v>5.5286521388216305E-2</v>
      </c>
      <c r="D22" s="211">
        <f>D21/D12</f>
        <v>3.5731807031888801E-2</v>
      </c>
      <c r="E22" s="211">
        <f>E21/E12</f>
        <v>3.5062597168807788E-2</v>
      </c>
      <c r="F22" s="81">
        <v>3.5000000000000003E-2</v>
      </c>
      <c r="G22" s="82">
        <v>3.5000000000000003E-2</v>
      </c>
      <c r="H22" s="82">
        <v>3.4000000000000002E-2</v>
      </c>
      <c r="I22" s="82">
        <v>3.3000000000000002E-2</v>
      </c>
      <c r="J22" s="82">
        <v>3.4000000000000002E-2</v>
      </c>
      <c r="N22" s="5" t="s">
        <v>114</v>
      </c>
      <c r="O22" s="6">
        <v>0.114</v>
      </c>
    </row>
    <row r="23" spans="2:15" s="57" customFormat="1" ht="15">
      <c r="B23" s="65"/>
      <c r="C23" s="64"/>
      <c r="D23" s="64"/>
      <c r="E23" s="63"/>
      <c r="F23" s="76"/>
      <c r="N23" s="5" t="s">
        <v>115</v>
      </c>
      <c r="O23" s="209">
        <v>1.4</v>
      </c>
    </row>
    <row r="24" spans="2:15" s="57" customFormat="1" ht="18.75">
      <c r="B24" s="266" t="s">
        <v>116</v>
      </c>
      <c r="C24" s="86"/>
      <c r="D24" s="86"/>
      <c r="E24" s="86"/>
      <c r="F24" s="86"/>
      <c r="G24" s="86"/>
      <c r="H24" s="86"/>
      <c r="I24" s="86"/>
      <c r="J24" s="86"/>
      <c r="N24" s="7" t="s">
        <v>110</v>
      </c>
      <c r="O24" s="11">
        <f>O21+O23*O22</f>
        <v>0.2006</v>
      </c>
    </row>
    <row r="25" spans="2:15" s="57" customFormat="1" ht="15">
      <c r="B25" s="65"/>
      <c r="C25" s="265"/>
      <c r="D25" s="65"/>
      <c r="E25" s="74"/>
      <c r="F25" s="332" t="s">
        <v>94</v>
      </c>
      <c r="G25" s="333"/>
      <c r="H25" s="333"/>
      <c r="I25" s="333"/>
      <c r="J25" s="334"/>
      <c r="N25"/>
      <c r="O25"/>
    </row>
    <row r="26" spans="2:15" s="57" customFormat="1" ht="15">
      <c r="B26" s="20"/>
      <c r="C26" s="264">
        <f>F26-3</f>
        <v>2020</v>
      </c>
      <c r="D26" s="72">
        <f>G26-3</f>
        <v>2021</v>
      </c>
      <c r="E26" s="72">
        <f>G26-2</f>
        <v>2022</v>
      </c>
      <c r="F26" s="75">
        <v>2023</v>
      </c>
      <c r="G26" s="72">
        <v>2024</v>
      </c>
      <c r="H26" s="72">
        <v>2025</v>
      </c>
      <c r="I26" s="72">
        <v>2026</v>
      </c>
      <c r="J26" s="72">
        <v>2027</v>
      </c>
      <c r="N26" s="13" t="s">
        <v>117</v>
      </c>
      <c r="O26" s="12">
        <f>O12*O18+O13*O24</f>
        <v>9.9758845564678303E-2</v>
      </c>
    </row>
    <row r="27" spans="2:15" s="57" customFormat="1" ht="15">
      <c r="B27" s="55" t="s">
        <v>97</v>
      </c>
      <c r="C27" s="250"/>
      <c r="D27" s="27"/>
      <c r="E27" s="27"/>
      <c r="F27" s="54">
        <v>1</v>
      </c>
      <c r="G27" s="54">
        <f>F27+1</f>
        <v>2</v>
      </c>
      <c r="H27" s="54">
        <f>G27+1</f>
        <v>3</v>
      </c>
      <c r="I27" s="54">
        <f>H27+1</f>
        <v>4</v>
      </c>
      <c r="J27" s="54">
        <f>I27+1</f>
        <v>5</v>
      </c>
    </row>
    <row r="28" spans="2:15" s="57" customFormat="1" ht="15">
      <c r="B28" s="65" t="s">
        <v>118</v>
      </c>
      <c r="C28" s="251">
        <v>1679</v>
      </c>
      <c r="D28" s="78">
        <v>1712</v>
      </c>
      <c r="E28" s="78">
        <v>862</v>
      </c>
      <c r="F28" s="89">
        <f>E28*(1+F38)</f>
        <v>862</v>
      </c>
      <c r="G28" s="90">
        <f>F28*(1+G38)</f>
        <v>862</v>
      </c>
      <c r="H28" s="90">
        <f>G28*(1+H38)</f>
        <v>862</v>
      </c>
      <c r="I28" s="90">
        <f>H28*(1+I38)</f>
        <v>862</v>
      </c>
      <c r="J28" s="90">
        <f>I28*(1+J38)</f>
        <v>862</v>
      </c>
    </row>
    <row r="29" spans="2:15" s="57" customFormat="1" ht="15">
      <c r="B29" s="48" t="s">
        <v>119</v>
      </c>
      <c r="C29" s="252">
        <v>276</v>
      </c>
      <c r="D29" s="91">
        <v>297</v>
      </c>
      <c r="E29" s="91">
        <v>300</v>
      </c>
      <c r="F29" s="89">
        <f>E29*(1+F39)</f>
        <v>324</v>
      </c>
      <c r="G29" s="90">
        <f>F29*(1+G39)</f>
        <v>353.16</v>
      </c>
      <c r="H29" s="90">
        <f>G29*(1+H39)</f>
        <v>388.47600000000006</v>
      </c>
      <c r="I29" s="90">
        <f>H29*(1+I39)</f>
        <v>431.20836000000003</v>
      </c>
      <c r="J29" s="90">
        <f>I29*(1+J39)</f>
        <v>482.95336319999996</v>
      </c>
    </row>
    <row r="30" spans="2:15" s="57" customFormat="1" ht="15">
      <c r="B30" s="48" t="s">
        <v>120</v>
      </c>
      <c r="C30" s="246">
        <v>3774</v>
      </c>
      <c r="D30" s="85">
        <v>4383</v>
      </c>
      <c r="E30" s="85">
        <v>4267</v>
      </c>
      <c r="F30" s="89">
        <f>E30*(1+F40)</f>
        <v>4760</v>
      </c>
      <c r="G30" s="90">
        <f>F30*(1+G40)</f>
        <v>5357.5601593625497</v>
      </c>
      <c r="H30" s="90">
        <f>G30*(1+H40)</f>
        <v>6083.7123371375055</v>
      </c>
      <c r="I30" s="90">
        <f>H30*(1+I40)</f>
        <v>6969.1227422197089</v>
      </c>
      <c r="J30" s="90">
        <f>I30*(1+J40)</f>
        <v>8053.0851002127656</v>
      </c>
    </row>
    <row r="31" spans="2:15" s="57" customFormat="1" ht="15">
      <c r="B31" s="48" t="s">
        <v>121</v>
      </c>
      <c r="C31" s="246">
        <v>455</v>
      </c>
      <c r="D31" s="85">
        <v>366</v>
      </c>
      <c r="E31" s="85">
        <v>424</v>
      </c>
      <c r="F31" s="89">
        <f>E31*(1+F41)</f>
        <v>393</v>
      </c>
      <c r="G31" s="90">
        <f>F31*(1+G41)</f>
        <v>368.19650943396226</v>
      </c>
      <c r="H31" s="90">
        <f>G31*(1+H41)</f>
        <v>348.64041181025271</v>
      </c>
      <c r="I31" s="90">
        <f>H31*(1+I41)</f>
        <v>333.60940537654653</v>
      </c>
      <c r="J31" s="90">
        <f>I31*(1+J41)</f>
        <v>322.56252789662506</v>
      </c>
    </row>
    <row r="32" spans="2:15" s="57" customFormat="1" ht="15">
      <c r="B32" s="48"/>
      <c r="C32" s="246"/>
      <c r="D32" s="85"/>
      <c r="E32" s="85"/>
      <c r="F32" s="89"/>
      <c r="G32" s="90"/>
      <c r="H32" s="90"/>
      <c r="I32" s="90"/>
      <c r="J32" s="90"/>
    </row>
    <row r="33" spans="1:15" s="57" customFormat="1" ht="15">
      <c r="B33" s="65"/>
      <c r="C33" s="253"/>
      <c r="D33" s="64"/>
      <c r="E33" s="63"/>
      <c r="F33" s="249"/>
    </row>
    <row r="34" spans="1:15" s="57" customFormat="1" ht="15">
      <c r="B34" s="48" t="s">
        <v>122</v>
      </c>
      <c r="C34" s="251">
        <v>2927</v>
      </c>
      <c r="D34" s="78">
        <v>3086</v>
      </c>
      <c r="E34" s="78">
        <v>2750</v>
      </c>
      <c r="F34" s="248">
        <f>E34*(1+F$42)</f>
        <v>2573</v>
      </c>
      <c r="G34" s="80">
        <f>F34*(1+G$42)</f>
        <v>2433.1223636363634</v>
      </c>
      <c r="H34" s="80">
        <f>G34*(1+H$42)</f>
        <v>2325.1802078677683</v>
      </c>
      <c r="I34" s="80">
        <f>H34*(1+I$42)</f>
        <v>2245.278560724676</v>
      </c>
      <c r="J34" s="80">
        <f>I34*(1+J$42)</f>
        <v>2190.575410336111</v>
      </c>
    </row>
    <row r="35" spans="1:15" s="57" customFormat="1" ht="15">
      <c r="B35" s="65" t="s">
        <v>123</v>
      </c>
      <c r="C35" s="246">
        <f>4407+3185+908+1296</f>
        <v>9796</v>
      </c>
      <c r="D35" s="85">
        <f>3295+3098+983+1177</f>
        <v>8553</v>
      </c>
      <c r="E35" s="85">
        <f>2996+2963+947+1017</f>
        <v>7923</v>
      </c>
      <c r="F35" s="248">
        <f>E35*(1+F$44)</f>
        <v>8002.2300000000005</v>
      </c>
      <c r="G35" s="80">
        <f>F35*(1+G$44)</f>
        <v>8162.2746000000006</v>
      </c>
      <c r="H35" s="80">
        <f>G35*(1+H$44)</f>
        <v>8407.1428380000016</v>
      </c>
      <c r="I35" s="80">
        <f>H35*(1+I$44)</f>
        <v>8743.4285515200027</v>
      </c>
      <c r="J35" s="80">
        <f>I35*(1+J$44)</f>
        <v>9180.5999790960032</v>
      </c>
    </row>
    <row r="36" spans="1:15" s="57" customFormat="1" ht="15">
      <c r="B36" s="65"/>
      <c r="C36" s="253"/>
      <c r="D36" s="64"/>
      <c r="E36" s="63"/>
      <c r="F36" s="249"/>
    </row>
    <row r="37" spans="1:15" s="57" customFormat="1" ht="15">
      <c r="B37" s="65" t="s">
        <v>124</v>
      </c>
      <c r="C37" s="246">
        <v>466</v>
      </c>
      <c r="D37" s="246">
        <v>597</v>
      </c>
      <c r="E37" s="85">
        <v>1295</v>
      </c>
      <c r="F37" s="249">
        <f>E37*(1+F$43)</f>
        <v>1554</v>
      </c>
      <c r="G37" s="92">
        <f>F37*(1+G$43)</f>
        <v>1880.34</v>
      </c>
      <c r="H37" s="92">
        <f>G37*(1+H$43)</f>
        <v>2294.0147999999999</v>
      </c>
      <c r="I37" s="92">
        <f>H37*(1+I$43)</f>
        <v>2821.6382039999999</v>
      </c>
      <c r="J37" s="92">
        <f>I37*(1+J$43)</f>
        <v>3498.83137296</v>
      </c>
    </row>
    <row r="38" spans="1:15" s="57" customFormat="1" ht="15">
      <c r="B38" s="65"/>
      <c r="C38" s="65"/>
      <c r="D38" s="64"/>
      <c r="E38" s="63"/>
      <c r="F38" s="249"/>
    </row>
    <row r="39" spans="1:15" s="57" customFormat="1" ht="15">
      <c r="B39" s="62" t="s">
        <v>125</v>
      </c>
      <c r="C39" s="60"/>
      <c r="D39" s="221"/>
      <c r="E39" s="256"/>
      <c r="F39" s="261">
        <f>(E29-C29)/E29</f>
        <v>0.08</v>
      </c>
      <c r="G39" s="262">
        <f>F39+1%</f>
        <v>0.09</v>
      </c>
      <c r="H39" s="262">
        <f>G39+1%</f>
        <v>9.9999999999999992E-2</v>
      </c>
      <c r="I39" s="262">
        <f>H39+1%</f>
        <v>0.10999999999999999</v>
      </c>
      <c r="J39" s="262">
        <f>I39+1%</f>
        <v>0.11999999999999998</v>
      </c>
      <c r="K39" s="262"/>
      <c r="L39" s="262"/>
      <c r="M39" s="262"/>
      <c r="N39" s="262"/>
      <c r="O39" s="262">
        <v>1.4999999999999999E-2</v>
      </c>
    </row>
    <row r="40" spans="1:15" s="57" customFormat="1" ht="15">
      <c r="B40" s="62" t="s">
        <v>126</v>
      </c>
      <c r="C40" s="60"/>
      <c r="D40" s="59"/>
      <c r="E40" s="58"/>
      <c r="F40" s="261">
        <f>(E30-C30)/E30</f>
        <v>0.11553784860557768</v>
      </c>
      <c r="G40" s="262">
        <f>F40+1%</f>
        <v>0.12553784860557768</v>
      </c>
      <c r="H40" s="262">
        <f>G40+1%</f>
        <v>0.13553784860557769</v>
      </c>
      <c r="I40" s="262">
        <f>H40+1%</f>
        <v>0.1455378486055777</v>
      </c>
      <c r="J40" s="262">
        <f>I40+1%</f>
        <v>0.15553784860557771</v>
      </c>
      <c r="K40" s="262"/>
      <c r="L40" s="262"/>
      <c r="M40" s="262"/>
      <c r="N40" s="262"/>
      <c r="O40" s="262">
        <v>3.3500000000000002E-2</v>
      </c>
    </row>
    <row r="41" spans="1:15" s="57" customFormat="1" ht="15">
      <c r="B41" s="62" t="s">
        <v>127</v>
      </c>
      <c r="C41" s="60"/>
      <c r="D41" s="59"/>
      <c r="E41" s="58"/>
      <c r="F41" s="261">
        <f>(E31-C31)/E31</f>
        <v>-7.3113207547169809E-2</v>
      </c>
      <c r="G41" s="262">
        <f>F41+1%</f>
        <v>-6.3113207547169814E-2</v>
      </c>
      <c r="H41" s="262">
        <f>G41+1%</f>
        <v>-5.3113207547169812E-2</v>
      </c>
      <c r="I41" s="262">
        <f>H41+1%</f>
        <v>-4.311320754716981E-2</v>
      </c>
      <c r="J41" s="262">
        <f>I41+1%</f>
        <v>-3.3113207547169808E-2</v>
      </c>
      <c r="K41" s="262"/>
      <c r="L41" s="262"/>
      <c r="M41" s="262"/>
      <c r="N41" s="262"/>
      <c r="O41" s="262">
        <v>0.11849999999999999</v>
      </c>
    </row>
    <row r="42" spans="1:15" s="57" customFormat="1" ht="15">
      <c r="B42" s="62" t="s">
        <v>128</v>
      </c>
      <c r="C42" s="60"/>
      <c r="D42" s="59"/>
      <c r="E42" s="58"/>
      <c r="F42" s="261">
        <f>(E34-C34)/E34</f>
        <v>-6.4363636363636359E-2</v>
      </c>
      <c r="G42" s="262">
        <f>F42+1%</f>
        <v>-5.4363636363636357E-2</v>
      </c>
      <c r="H42" s="262">
        <f>G42+1%</f>
        <v>-4.4363636363636355E-2</v>
      </c>
      <c r="I42" s="262">
        <f>H42+1%</f>
        <v>-3.4363636363636353E-2</v>
      </c>
      <c r="J42" s="262">
        <f>I42+1%</f>
        <v>-2.4363636363636351E-2</v>
      </c>
      <c r="K42" s="262"/>
      <c r="L42" s="262"/>
      <c r="M42" s="262"/>
      <c r="N42" s="262"/>
      <c r="O42" s="262">
        <v>1.4999999999999999E-2</v>
      </c>
    </row>
    <row r="43" spans="1:15" s="57" customFormat="1" ht="15">
      <c r="B43" s="61" t="s">
        <v>129</v>
      </c>
      <c r="C43" s="60"/>
      <c r="D43" s="59"/>
      <c r="E43" s="58"/>
      <c r="F43" s="261">
        <v>0.2</v>
      </c>
      <c r="G43" s="262">
        <f>F43+1%</f>
        <v>0.21000000000000002</v>
      </c>
      <c r="H43" s="262">
        <f>G43+1%</f>
        <v>0.22000000000000003</v>
      </c>
      <c r="I43" s="262">
        <f>H43+1%</f>
        <v>0.23000000000000004</v>
      </c>
      <c r="J43" s="262">
        <f>I43+1%</f>
        <v>0.24000000000000005</v>
      </c>
      <c r="K43" s="262"/>
      <c r="L43" s="262"/>
      <c r="M43" s="262"/>
      <c r="N43" s="262"/>
      <c r="O43" s="262">
        <v>0.14000000000000001</v>
      </c>
    </row>
    <row r="44" spans="1:15" s="57" customFormat="1" ht="15">
      <c r="B44" s="61" t="s">
        <v>153</v>
      </c>
      <c r="C44" s="60"/>
      <c r="D44" s="59"/>
      <c r="E44" s="58"/>
      <c r="F44" s="259">
        <v>0.01</v>
      </c>
      <c r="G44" s="260">
        <f>F44+1%</f>
        <v>0.02</v>
      </c>
      <c r="H44" s="260">
        <f t="shared" ref="H44:J44" si="1">G44+1%</f>
        <v>0.03</v>
      </c>
      <c r="I44" s="260">
        <f t="shared" si="1"/>
        <v>0.04</v>
      </c>
      <c r="J44" s="260">
        <f t="shared" si="1"/>
        <v>0.05</v>
      </c>
      <c r="K44" s="260"/>
      <c r="L44" s="260"/>
      <c r="M44" s="260"/>
      <c r="N44" s="260"/>
      <c r="O44" s="260">
        <v>-2.5000000000000001E-2</v>
      </c>
    </row>
    <row r="45" spans="1:15" s="57" customFormat="1" ht="15">
      <c r="B45" s="61"/>
      <c r="C45" s="60"/>
      <c r="D45" s="59"/>
      <c r="E45" s="58"/>
      <c r="F45" s="260"/>
      <c r="G45" s="260"/>
      <c r="H45" s="260"/>
      <c r="I45" s="260"/>
      <c r="J45" s="260"/>
      <c r="K45" s="260"/>
      <c r="L45" s="260"/>
      <c r="M45" s="260"/>
      <c r="N45" s="260"/>
      <c r="O45" s="260"/>
    </row>
    <row r="46" spans="1:15" s="57" customFormat="1" ht="15">
      <c r="B46" s="61"/>
      <c r="C46" s="60"/>
      <c r="D46" s="59"/>
      <c r="E46" s="58"/>
      <c r="F46" s="260"/>
      <c r="G46" s="260"/>
      <c r="H46" s="260"/>
      <c r="I46" s="260"/>
      <c r="J46" s="260"/>
      <c r="K46" s="260"/>
      <c r="L46" s="260"/>
      <c r="M46" s="260"/>
      <c r="N46" s="260"/>
      <c r="O46" s="260"/>
    </row>
    <row r="47" spans="1:15" s="19" customFormat="1" ht="18.75">
      <c r="A47" s="96"/>
      <c r="B47" s="86"/>
      <c r="C47" s="86"/>
      <c r="D47" s="86"/>
      <c r="E47" s="86"/>
      <c r="F47" s="86"/>
      <c r="G47" s="86"/>
      <c r="H47" s="86"/>
      <c r="I47" s="86"/>
      <c r="J47" s="86"/>
    </row>
    <row r="48" spans="1:15" s="19" customFormat="1" ht="15">
      <c r="B48" s="56" t="s">
        <v>131</v>
      </c>
      <c r="C48" s="93"/>
      <c r="D48" s="94"/>
      <c r="E48" s="95"/>
      <c r="F48" s="332" t="s">
        <v>94</v>
      </c>
      <c r="G48" s="333"/>
      <c r="H48" s="333"/>
      <c r="I48" s="333"/>
      <c r="J48" s="334"/>
    </row>
    <row r="49" spans="2:10" s="19" customFormat="1" ht="15">
      <c r="B49" s="20"/>
      <c r="C49" s="72">
        <f>F49-3</f>
        <v>2020</v>
      </c>
      <c r="D49" s="72">
        <f>F49-2</f>
        <v>2021</v>
      </c>
      <c r="E49" s="72">
        <f>F49-1</f>
        <v>2022</v>
      </c>
      <c r="F49" s="75">
        <v>2023</v>
      </c>
      <c r="G49" s="72">
        <f>$F$10+F50</f>
        <v>2024</v>
      </c>
      <c r="H49" s="72">
        <f t="shared" ref="H49:J49" si="2">$F$10+G50</f>
        <v>2025</v>
      </c>
      <c r="I49" s="72">
        <f t="shared" si="2"/>
        <v>2026</v>
      </c>
      <c r="J49" s="72">
        <f t="shared" si="2"/>
        <v>2027</v>
      </c>
    </row>
    <row r="50" spans="2:10" s="19" customFormat="1" ht="15">
      <c r="B50" s="55" t="s">
        <v>97</v>
      </c>
      <c r="C50" s="27"/>
      <c r="D50" s="27"/>
      <c r="E50" s="27"/>
      <c r="F50" s="54">
        <v>1</v>
      </c>
      <c r="G50" s="54">
        <f>F50+1</f>
        <v>2</v>
      </c>
      <c r="H50" s="54">
        <f>G50+1</f>
        <v>3</v>
      </c>
      <c r="I50" s="54">
        <f>H50+1</f>
        <v>4</v>
      </c>
      <c r="J50" s="54">
        <f>I50+1</f>
        <v>5</v>
      </c>
    </row>
    <row r="51" spans="2:10" s="19" customFormat="1" ht="15">
      <c r="B51" s="19" t="s">
        <v>132</v>
      </c>
      <c r="C51" s="53"/>
      <c r="D51" s="53"/>
      <c r="E51" s="52"/>
      <c r="F51" s="52">
        <f>F12</f>
        <v>24930.84</v>
      </c>
      <c r="G51" s="52">
        <f t="shared" ref="G51:J51" si="3">G12</f>
        <v>25678.765200000002</v>
      </c>
      <c r="H51" s="52">
        <f t="shared" si="3"/>
        <v>26705.915808000002</v>
      </c>
      <c r="I51" s="52">
        <f t="shared" si="3"/>
        <v>27907.68201936</v>
      </c>
      <c r="J51" s="52">
        <f t="shared" si="3"/>
        <v>29303.066120328</v>
      </c>
    </row>
    <row r="52" spans="2:10" s="19" customFormat="1" ht="15">
      <c r="B52" s="51" t="s">
        <v>103</v>
      </c>
      <c r="C52" s="35"/>
      <c r="D52" s="35"/>
      <c r="E52" s="35"/>
      <c r="F52" s="222">
        <f>F15</f>
        <v>2493.0840000000003</v>
      </c>
      <c r="G52" s="222">
        <f t="shared" ref="G52:J52" si="4">G15</f>
        <v>2824.6641720000002</v>
      </c>
      <c r="H52" s="222">
        <f>H15</f>
        <v>3204.7098969600002</v>
      </c>
      <c r="I52" s="222">
        <f t="shared" si="4"/>
        <v>3627.9986625167999</v>
      </c>
      <c r="J52" s="222">
        <f t="shared" si="4"/>
        <v>4102.4292568459205</v>
      </c>
    </row>
    <row r="53" spans="2:10" s="19" customFormat="1" ht="15">
      <c r="B53" s="19" t="s">
        <v>107</v>
      </c>
      <c r="C53" s="35"/>
      <c r="D53" s="35"/>
      <c r="E53" s="35"/>
      <c r="F53" s="222">
        <f>F18</f>
        <v>1994.4672</v>
      </c>
      <c r="G53" s="222">
        <f t="shared" ref="G53:J53" si="5">G18</f>
        <v>2105.6587464000004</v>
      </c>
      <c r="H53" s="222">
        <f t="shared" si="5"/>
        <v>2243.2969278720002</v>
      </c>
      <c r="I53" s="222">
        <f t="shared" si="5"/>
        <v>2372.1529716456002</v>
      </c>
      <c r="J53" s="222">
        <f t="shared" si="5"/>
        <v>2930.3066120328003</v>
      </c>
    </row>
    <row r="54" spans="2:10" s="19" customFormat="1" ht="15">
      <c r="B54" s="19" t="s">
        <v>133</v>
      </c>
      <c r="C54" s="50"/>
      <c r="D54" s="50"/>
      <c r="E54" s="50"/>
      <c r="F54" s="97">
        <v>0.21</v>
      </c>
      <c r="G54" s="97">
        <v>0.21</v>
      </c>
      <c r="H54" s="97">
        <v>0.21</v>
      </c>
      <c r="I54" s="97">
        <v>0.21</v>
      </c>
      <c r="J54" s="97">
        <v>0.21</v>
      </c>
    </row>
    <row r="55" spans="2:10" s="19" customFormat="1" ht="15">
      <c r="B55" s="20" t="s">
        <v>134</v>
      </c>
      <c r="C55" s="46"/>
      <c r="D55" s="46"/>
      <c r="E55" s="46"/>
      <c r="F55" s="33">
        <f>F53*(1-F54)</f>
        <v>1575.6290880000001</v>
      </c>
      <c r="G55" s="33">
        <f>G53*(1-G54)</f>
        <v>1663.4704096560004</v>
      </c>
      <c r="H55" s="33">
        <f t="shared" ref="G55:J55" si="6">H53*(1-H54)</f>
        <v>1772.2045730188802</v>
      </c>
      <c r="I55" s="33">
        <f t="shared" si="6"/>
        <v>1874.0008476000244</v>
      </c>
      <c r="J55" s="33">
        <f t="shared" si="6"/>
        <v>2314.9422235059124</v>
      </c>
    </row>
    <row r="56" spans="2:10" s="270" customFormat="1" ht="15">
      <c r="B56" s="273" t="s">
        <v>135</v>
      </c>
      <c r="C56" s="274"/>
      <c r="D56" s="274"/>
      <c r="E56" s="274"/>
      <c r="F56" s="275">
        <f>F21</f>
        <v>872.57940000000008</v>
      </c>
      <c r="G56" s="275">
        <f t="shared" ref="G56:J56" si="7">G21</f>
        <v>898.75678200000016</v>
      </c>
      <c r="H56" s="275">
        <f t="shared" si="7"/>
        <v>908.0011374720001</v>
      </c>
      <c r="I56" s="275">
        <f t="shared" si="7"/>
        <v>920.95350663888007</v>
      </c>
      <c r="J56" s="275">
        <f t="shared" si="7"/>
        <v>996.30424809115209</v>
      </c>
    </row>
    <row r="57" spans="2:10" s="19" customFormat="1" ht="15">
      <c r="B57" s="48" t="s">
        <v>136</v>
      </c>
      <c r="C57" s="37"/>
      <c r="D57" s="37"/>
      <c r="E57" s="37"/>
      <c r="F57" s="37">
        <f>-(F29-E29)</f>
        <v>-24</v>
      </c>
      <c r="G57" s="37">
        <f t="shared" ref="G57:J59" si="8">-(G29-F29)</f>
        <v>-29.160000000000025</v>
      </c>
      <c r="H57" s="37">
        <f t="shared" si="8"/>
        <v>-35.316000000000031</v>
      </c>
      <c r="I57" s="37">
        <f t="shared" si="8"/>
        <v>-42.732359999999971</v>
      </c>
      <c r="J57" s="37">
        <f t="shared" si="8"/>
        <v>-51.745003199999928</v>
      </c>
    </row>
    <row r="58" spans="2:10" s="19" customFormat="1" ht="15">
      <c r="B58" s="48" t="s">
        <v>120</v>
      </c>
      <c r="C58" s="37"/>
      <c r="D58" s="37"/>
      <c r="E58" s="37"/>
      <c r="F58" s="37">
        <f>-(F30-E30)</f>
        <v>-493</v>
      </c>
      <c r="G58" s="37">
        <f t="shared" si="8"/>
        <v>-597.56015936254971</v>
      </c>
      <c r="H58" s="37">
        <f t="shared" si="8"/>
        <v>-726.15217777495582</v>
      </c>
      <c r="I58" s="37">
        <f t="shared" si="8"/>
        <v>-885.4104050822034</v>
      </c>
      <c r="J58" s="37">
        <f t="shared" si="8"/>
        <v>-1083.9623579930567</v>
      </c>
    </row>
    <row r="59" spans="2:10" s="19" customFormat="1" ht="15">
      <c r="B59" s="48" t="s">
        <v>137</v>
      </c>
      <c r="C59" s="37"/>
      <c r="D59" s="37"/>
      <c r="E59" s="37"/>
      <c r="F59" s="37">
        <f>-(F31-E31)</f>
        <v>31</v>
      </c>
      <c r="G59" s="37">
        <f t="shared" si="8"/>
        <v>24.803490566037738</v>
      </c>
      <c r="H59" s="37">
        <f t="shared" si="8"/>
        <v>19.556097623709547</v>
      </c>
      <c r="I59" s="37">
        <f t="shared" si="8"/>
        <v>15.031006433706182</v>
      </c>
      <c r="J59" s="37">
        <f t="shared" si="8"/>
        <v>11.046877479921477</v>
      </c>
    </row>
    <row r="60" spans="2:10" s="19" customFormat="1" ht="15">
      <c r="B60" s="48" t="s">
        <v>138</v>
      </c>
      <c r="C60" s="37"/>
      <c r="D60" s="37"/>
      <c r="E60" s="37"/>
      <c r="F60" s="37">
        <f>F34-E34</f>
        <v>-177</v>
      </c>
      <c r="G60" s="37">
        <f t="shared" ref="G60:J60" si="9">G34-F34</f>
        <v>-139.87763636363661</v>
      </c>
      <c r="H60" s="37">
        <f t="shared" si="9"/>
        <v>-107.94215576859506</v>
      </c>
      <c r="I60" s="37">
        <f t="shared" si="9"/>
        <v>-79.901647143092305</v>
      </c>
      <c r="J60" s="37">
        <f t="shared" si="9"/>
        <v>-54.703150388565064</v>
      </c>
    </row>
    <row r="61" spans="2:10" s="19" customFormat="1" ht="15">
      <c r="B61" s="47" t="s">
        <v>139</v>
      </c>
      <c r="C61" s="37"/>
      <c r="D61" s="37"/>
      <c r="E61" s="37"/>
      <c r="F61" s="37">
        <f>-(F37-E37)</f>
        <v>-259</v>
      </c>
      <c r="G61" s="37">
        <f>-(G37-F37)</f>
        <v>-326.33999999999992</v>
      </c>
      <c r="H61" s="37">
        <f>-(H37-G37)</f>
        <v>-413.6748</v>
      </c>
      <c r="I61" s="37">
        <f>-(I37-H37)</f>
        <v>-527.62340399999994</v>
      </c>
      <c r="J61" s="37">
        <f>-(J37-I37)</f>
        <v>-677.19316896000009</v>
      </c>
    </row>
    <row r="62" spans="2:10" s="19" customFormat="1" ht="15">
      <c r="B62" s="20" t="s">
        <v>140</v>
      </c>
      <c r="C62" s="46"/>
      <c r="D62" s="46"/>
      <c r="E62" s="46"/>
      <c r="F62" s="33">
        <f>SUM(F55:F61)</f>
        <v>1526.2084880000002</v>
      </c>
      <c r="G62" s="33">
        <f>SUM(G55:G61)</f>
        <v>1494.0928864958519</v>
      </c>
      <c r="H62" s="33">
        <f>SUM(H55:H61)</f>
        <v>1416.6766745710388</v>
      </c>
      <c r="I62" s="33">
        <f>SUM(I55:I61)</f>
        <v>1274.3175444473152</v>
      </c>
      <c r="J62" s="33">
        <f>SUM(J55:J61)</f>
        <v>1454.6896685353645</v>
      </c>
    </row>
    <row r="63" spans="2:10" s="19" customFormat="1" ht="15">
      <c r="B63" s="32" t="s">
        <v>141</v>
      </c>
      <c r="C63" s="45"/>
      <c r="D63" s="44"/>
      <c r="E63" s="44"/>
      <c r="F63" s="44">
        <f>$O$26</f>
        <v>9.9758845564678303E-2</v>
      </c>
      <c r="G63" s="44">
        <f t="shared" ref="G63:J63" si="10">$O$26</f>
        <v>9.9758845564678303E-2</v>
      </c>
      <c r="H63" s="44">
        <f t="shared" si="10"/>
        <v>9.9758845564678303E-2</v>
      </c>
      <c r="I63" s="44">
        <f t="shared" si="10"/>
        <v>9.9758845564678303E-2</v>
      </c>
      <c r="J63" s="44">
        <f t="shared" si="10"/>
        <v>9.9758845564678303E-2</v>
      </c>
    </row>
    <row r="64" spans="2:10" s="19" customFormat="1" ht="15">
      <c r="B64" s="32" t="s">
        <v>142</v>
      </c>
      <c r="C64" s="36"/>
      <c r="D64" s="36"/>
      <c r="E64" s="36"/>
      <c r="F64" s="36">
        <f>F62/(1+F63)^F50</f>
        <v>1387.7665036795941</v>
      </c>
      <c r="G64" s="36">
        <f>G62/(1+G63)^G50</f>
        <v>1235.3290957469958</v>
      </c>
      <c r="H64" s="36">
        <f>H62/(1+H63)^H50</f>
        <v>1065.0704905191942</v>
      </c>
      <c r="I64" s="36">
        <f>I62/(1+I63)^I50</f>
        <v>871.13970246246845</v>
      </c>
      <c r="J64" s="36">
        <f>J62/(1+J63)^J50</f>
        <v>904.23858614991173</v>
      </c>
    </row>
    <row r="65" spans="2:7" s="19" customFormat="1" ht="15">
      <c r="B65" s="20" t="s">
        <v>143</v>
      </c>
      <c r="C65" s="33">
        <f>SUM(F64:J64)</f>
        <v>5463.5443785581638</v>
      </c>
    </row>
    <row r="66" spans="2:7" s="19" customFormat="1" ht="15"/>
    <row r="67" spans="2:7" s="19" customFormat="1" ht="18.75">
      <c r="B67" s="86" t="s">
        <v>144</v>
      </c>
      <c r="C67" s="86"/>
    </row>
    <row r="68" spans="2:7" s="19" customFormat="1" ht="15">
      <c r="B68" s="43" t="s">
        <v>145</v>
      </c>
      <c r="C68" s="42"/>
      <c r="F68" s="22"/>
      <c r="G68" s="42"/>
    </row>
    <row r="69" spans="2:7" s="270" customFormat="1" ht="15">
      <c r="B69" s="270" t="s">
        <v>146</v>
      </c>
      <c r="C69" s="271">
        <v>3.5000000000000003E-2</v>
      </c>
      <c r="F69" s="272"/>
      <c r="G69" s="271"/>
    </row>
    <row r="70" spans="2:7" s="19" customFormat="1" ht="15">
      <c r="B70" s="19" t="s">
        <v>117</v>
      </c>
      <c r="C70" s="41">
        <f>O26</f>
        <v>9.9758845564678303E-2</v>
      </c>
      <c r="F70" s="32"/>
      <c r="G70" s="40"/>
    </row>
    <row r="71" spans="2:7" s="19" customFormat="1" ht="15">
      <c r="B71" s="19" t="s">
        <v>147</v>
      </c>
      <c r="C71" s="39">
        <f>J62*(1+C69)</f>
        <v>1505.6038069341021</v>
      </c>
      <c r="F71" s="32"/>
      <c r="G71" s="39"/>
    </row>
    <row r="72" spans="2:7" s="19" customFormat="1" ht="15">
      <c r="B72" s="19" t="s">
        <v>144</v>
      </c>
      <c r="C72" s="39">
        <f>C71/(C70-C69)</f>
        <v>23249.392323252134</v>
      </c>
      <c r="F72" s="32"/>
      <c r="G72" s="39"/>
    </row>
    <row r="73" spans="2:7" s="19" customFormat="1" ht="15">
      <c r="B73" s="20" t="s">
        <v>148</v>
      </c>
      <c r="C73" s="38">
        <f>C72/(1+J63)^J50</f>
        <v>14451.878017659157</v>
      </c>
      <c r="F73" s="32"/>
      <c r="G73" s="34"/>
    </row>
    <row r="74" spans="2:7" s="19" customFormat="1" ht="15">
      <c r="C74" s="18"/>
    </row>
    <row r="75" spans="2:7" s="19" customFormat="1" ht="15">
      <c r="C75" s="18"/>
    </row>
    <row r="76" spans="2:7" s="19" customFormat="1" ht="18.75">
      <c r="B76" s="86" t="s">
        <v>149</v>
      </c>
      <c r="C76" s="86"/>
      <c r="D76" s="86"/>
    </row>
    <row r="77" spans="2:7" s="19" customFormat="1" ht="15">
      <c r="B77" s="19" t="s">
        <v>150</v>
      </c>
      <c r="C77" s="34"/>
      <c r="D77" s="36">
        <f>C73+C65</f>
        <v>19915.42239621732</v>
      </c>
    </row>
    <row r="78" spans="2:7" s="19" customFormat="1" ht="15">
      <c r="B78" s="19" t="s">
        <v>151</v>
      </c>
      <c r="C78" s="31"/>
      <c r="D78" s="35">
        <f>E35-E28</f>
        <v>7061</v>
      </c>
      <c r="E78" s="32"/>
      <c r="F78" s="34"/>
    </row>
    <row r="79" spans="2:7" s="19" customFormat="1" ht="15">
      <c r="B79" s="20" t="s">
        <v>35</v>
      </c>
      <c r="D79" s="33">
        <f>(D77-D78)*1000000</f>
        <v>12854422396.217319</v>
      </c>
      <c r="E79" s="32"/>
      <c r="F79" s="31"/>
    </row>
    <row r="80" spans="2:7" s="19" customFormat="1" ht="15">
      <c r="B80" s="19" t="s">
        <v>90</v>
      </c>
      <c r="D80" s="30">
        <f>D5</f>
        <v>282000000</v>
      </c>
      <c r="E80" s="22"/>
      <c r="F80" s="29"/>
    </row>
    <row r="81" spans="2:6" s="19" customFormat="1" ht="15">
      <c r="B81" s="28" t="s">
        <v>152</v>
      </c>
      <c r="C81" s="27"/>
      <c r="D81" s="26">
        <f>D79/D80</f>
        <v>45.583058142614611</v>
      </c>
      <c r="E81" s="25"/>
      <c r="F81" s="24"/>
    </row>
    <row r="82" spans="2:6" s="19" customFormat="1" ht="15">
      <c r="D82" s="23"/>
      <c r="E82" s="22"/>
      <c r="F82" s="21"/>
    </row>
    <row r="83" spans="2:6" s="18" customFormat="1" ht="15">
      <c r="B83" s="20"/>
      <c r="E83" s="255"/>
    </row>
    <row r="84" spans="2:6" s="18" customFormat="1" ht="15">
      <c r="B84" s="19"/>
      <c r="E84" s="255"/>
    </row>
  </sheetData>
  <sheetProtection selectLockedCells="1" selectUnlockedCells="1"/>
  <mergeCells count="5">
    <mergeCell ref="B1:O1"/>
    <mergeCell ref="N8:O8"/>
    <mergeCell ref="F9:J9"/>
    <mergeCell ref="F25:J25"/>
    <mergeCell ref="F48:J48"/>
  </mergeCells>
  <pageMargins left="0.7" right="0.7" top="0.75" bottom="0.75" header="0.3" footer="0.3"/>
  <pageSetup orientation="portrait" horizontalDpi="4294967294"/>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23115-250D-4760-8E2C-70B40E0A104D}">
  <sheetPr>
    <tabColor theme="5" tint="0.39997558519241921"/>
  </sheetPr>
  <dimension ref="A1:Q84"/>
  <sheetViews>
    <sheetView showGridLines="0" topLeftCell="E9" zoomScale="70" zoomScaleNormal="70" workbookViewId="0">
      <selection activeCell="J35" sqref="J35"/>
    </sheetView>
  </sheetViews>
  <sheetFormatPr defaultColWidth="8.85546875" defaultRowHeight="12.75" customHeight="1"/>
  <cols>
    <col min="1" max="1" width="1.5703125" style="17" customWidth="1"/>
    <col min="2" max="2" width="37.42578125" style="17" customWidth="1"/>
    <col min="3" max="3" width="12.42578125" style="17" customWidth="1"/>
    <col min="4" max="4" width="17.85546875" style="17" bestFit="1" customWidth="1"/>
    <col min="5" max="5" width="14.28515625" style="254" bestFit="1" customWidth="1"/>
    <col min="6" max="10" width="12.42578125" style="17" customWidth="1"/>
    <col min="11" max="12" width="8.85546875" style="17"/>
    <col min="13" max="13" width="13" style="17" bestFit="1" customWidth="1"/>
    <col min="14" max="14" width="34" style="17" customWidth="1"/>
    <col min="15" max="15" width="10.42578125" style="17" bestFit="1" customWidth="1"/>
    <col min="16" max="16384" width="8.85546875" style="17"/>
  </cols>
  <sheetData>
    <row r="1" spans="1:15" s="67" customFormat="1" ht="28.5">
      <c r="A1" s="68"/>
      <c r="B1" s="326" t="s">
        <v>87</v>
      </c>
      <c r="C1" s="326"/>
      <c r="D1" s="326"/>
      <c r="E1" s="326"/>
      <c r="F1" s="326"/>
      <c r="G1" s="326"/>
      <c r="H1" s="326"/>
      <c r="I1" s="326"/>
      <c r="J1" s="326"/>
      <c r="K1" s="326"/>
      <c r="L1" s="326"/>
      <c r="M1" s="326"/>
      <c r="N1" s="326"/>
      <c r="O1" s="326"/>
    </row>
    <row r="2" spans="1:15">
      <c r="B2" s="66"/>
      <c r="C2" s="66"/>
      <c r="D2" s="66"/>
    </row>
    <row r="3" spans="1:15" s="57" customFormat="1" ht="15">
      <c r="B3" s="65" t="s">
        <v>88</v>
      </c>
      <c r="C3" s="64"/>
      <c r="D3" s="69">
        <v>45343</v>
      </c>
    </row>
    <row r="4" spans="1:15" s="57" customFormat="1" ht="15">
      <c r="B4" s="65" t="s">
        <v>89</v>
      </c>
      <c r="C4" s="64"/>
      <c r="D4" s="70">
        <v>18.989999999999998</v>
      </c>
    </row>
    <row r="5" spans="1:15" s="57" customFormat="1" ht="15">
      <c r="B5" s="65" t="s">
        <v>90</v>
      </c>
      <c r="C5" s="64"/>
      <c r="D5" s="71">
        <v>282000000</v>
      </c>
      <c r="E5" s="71"/>
      <c r="F5" s="92"/>
    </row>
    <row r="6" spans="1:15" s="57" customFormat="1" ht="15">
      <c r="B6" s="65" t="s">
        <v>91</v>
      </c>
      <c r="C6" s="64"/>
      <c r="D6" s="71">
        <f>D4*D5</f>
        <v>5355180000</v>
      </c>
    </row>
    <row r="7" spans="1:15" s="57" customFormat="1" ht="15">
      <c r="B7" s="65"/>
      <c r="C7" s="64"/>
      <c r="D7" s="63"/>
    </row>
    <row r="8" spans="1:15" s="57" customFormat="1" ht="18.75">
      <c r="B8" s="86" t="s">
        <v>92</v>
      </c>
      <c r="C8" s="86"/>
      <c r="D8" s="86"/>
      <c r="E8" s="86"/>
      <c r="F8" s="86"/>
      <c r="G8" s="86"/>
      <c r="H8" s="86"/>
      <c r="I8" s="86"/>
      <c r="J8" s="86"/>
      <c r="N8" s="327" t="s">
        <v>93</v>
      </c>
      <c r="O8" s="328"/>
    </row>
    <row r="9" spans="1:15" s="57" customFormat="1" ht="15">
      <c r="B9" s="65"/>
      <c r="C9" s="87"/>
      <c r="D9" s="88"/>
      <c r="E9" s="88"/>
      <c r="F9" s="329" t="s">
        <v>94</v>
      </c>
      <c r="G9" s="330"/>
      <c r="H9" s="330"/>
      <c r="I9" s="330"/>
      <c r="J9" s="331"/>
      <c r="N9" s="3" t="s">
        <v>95</v>
      </c>
      <c r="O9" s="4"/>
    </row>
    <row r="10" spans="1:15" s="57" customFormat="1" ht="15">
      <c r="B10" s="20"/>
      <c r="C10" s="263">
        <f>F10-3</f>
        <v>2020</v>
      </c>
      <c r="D10" s="72">
        <f>G10-3</f>
        <v>2021</v>
      </c>
      <c r="E10" s="72">
        <f>G10-2</f>
        <v>2022</v>
      </c>
      <c r="F10" s="75">
        <v>2023</v>
      </c>
      <c r="G10" s="72">
        <f>$F$10+F11</f>
        <v>2024</v>
      </c>
      <c r="H10" s="72">
        <f t="shared" ref="H10:J10" si="0">$F$10+G11</f>
        <v>2025</v>
      </c>
      <c r="I10" s="72">
        <f t="shared" si="0"/>
        <v>2026</v>
      </c>
      <c r="J10" s="72">
        <f t="shared" si="0"/>
        <v>2027</v>
      </c>
      <c r="N10" s="76" t="s">
        <v>96</v>
      </c>
      <c r="O10" s="98">
        <f>E35</f>
        <v>7923</v>
      </c>
    </row>
    <row r="11" spans="1:15" s="57" customFormat="1" ht="15">
      <c r="B11" s="55" t="s">
        <v>97</v>
      </c>
      <c r="C11" s="27"/>
      <c r="D11" s="27"/>
      <c r="E11" s="27"/>
      <c r="F11" s="54">
        <v>1</v>
      </c>
      <c r="G11" s="54">
        <f>F11+1</f>
        <v>2</v>
      </c>
      <c r="H11" s="54">
        <f>G11+1</f>
        <v>3</v>
      </c>
      <c r="I11" s="54">
        <f>H11+1</f>
        <v>4</v>
      </c>
      <c r="J11" s="54">
        <f>I11+1</f>
        <v>5</v>
      </c>
      <c r="N11" s="76" t="s">
        <v>98</v>
      </c>
      <c r="O11" s="98">
        <f>D6/1000000</f>
        <v>5355.18</v>
      </c>
    </row>
    <row r="12" spans="1:15" s="57" customFormat="1" ht="15">
      <c r="B12" s="65" t="s">
        <v>99</v>
      </c>
      <c r="C12" s="77">
        <v>17346</v>
      </c>
      <c r="D12" s="77">
        <v>24460</v>
      </c>
      <c r="E12" s="77">
        <v>24442</v>
      </c>
      <c r="F12" s="79">
        <f>E12*(1+F13)</f>
        <v>24564.21</v>
      </c>
      <c r="G12" s="80">
        <f>F12*(1+G13)</f>
        <v>24711.595259999998</v>
      </c>
      <c r="H12" s="80">
        <f>G12*(1+H13)</f>
        <v>24884.576426819996</v>
      </c>
      <c r="I12" s="80">
        <f>H12*(1+I13)</f>
        <v>25083.653038234555</v>
      </c>
      <c r="J12" s="80">
        <f>I12*(1+J13)</f>
        <v>25309.405915578664</v>
      </c>
      <c r="N12" s="5" t="s">
        <v>100</v>
      </c>
      <c r="O12" s="6">
        <f>O10/(O10+O11)</f>
        <v>0.5966932215107793</v>
      </c>
    </row>
    <row r="13" spans="1:15" s="57" customFormat="1" ht="15">
      <c r="B13" s="61" t="s">
        <v>101</v>
      </c>
      <c r="C13" s="211"/>
      <c r="D13" s="211">
        <f>(D12-C12)/C12</f>
        <v>0.41012337138245131</v>
      </c>
      <c r="E13" s="211">
        <f>(E12-D12)/D12</f>
        <v>-7.3589533932951758E-4</v>
      </c>
      <c r="F13" s="81">
        <v>5.0000000000000001E-3</v>
      </c>
      <c r="G13" s="82">
        <v>6.0000000000000001E-3</v>
      </c>
      <c r="H13" s="82">
        <v>7.0000000000000001E-3</v>
      </c>
      <c r="I13" s="82">
        <v>8.0000000000000002E-3</v>
      </c>
      <c r="J13" s="82">
        <v>8.9999999999999993E-3</v>
      </c>
      <c r="N13" s="7" t="s">
        <v>102</v>
      </c>
      <c r="O13" s="8">
        <f>1-O12</f>
        <v>0.4033067784892207</v>
      </c>
    </row>
    <row r="14" spans="1:15" s="57" customFormat="1" ht="15">
      <c r="B14" s="65"/>
      <c r="C14" s="64"/>
      <c r="D14" s="64"/>
      <c r="E14" s="63"/>
      <c r="F14" s="76"/>
      <c r="N14"/>
      <c r="O14"/>
    </row>
    <row r="15" spans="1:15" s="57" customFormat="1" ht="15">
      <c r="B15" s="65" t="s">
        <v>103</v>
      </c>
      <c r="C15" s="78">
        <v>-3146</v>
      </c>
      <c r="D15" s="78">
        <v>3194</v>
      </c>
      <c r="E15" s="78">
        <v>2568</v>
      </c>
      <c r="F15" s="83">
        <f>F16*F12</f>
        <v>2628.3704699999998</v>
      </c>
      <c r="G15" s="84">
        <f>G16*G12</f>
        <v>2594.7175022999995</v>
      </c>
      <c r="H15" s="84">
        <f>H16*H12</f>
        <v>2612.8805248160998</v>
      </c>
      <c r="I15" s="84">
        <f>I16*I12</f>
        <v>2633.783569014628</v>
      </c>
      <c r="J15" s="84">
        <f>J16*J12</f>
        <v>2657.4876211357596</v>
      </c>
      <c r="N15" s="9" t="s">
        <v>104</v>
      </c>
      <c r="O15" s="10"/>
    </row>
    <row r="16" spans="1:15" s="57" customFormat="1" ht="15">
      <c r="B16" s="61" t="s">
        <v>105</v>
      </c>
      <c r="C16" s="211">
        <f>C15/C12</f>
        <v>-0.18136746223913294</v>
      </c>
      <c r="D16" s="211">
        <f>D15/D12</f>
        <v>0.13058053965658217</v>
      </c>
      <c r="E16" s="211">
        <f>E15/E12</f>
        <v>0.10506505195974143</v>
      </c>
      <c r="F16" s="81">
        <v>0.107</v>
      </c>
      <c r="G16" s="82">
        <v>0.105</v>
      </c>
      <c r="H16" s="82">
        <v>0.105</v>
      </c>
      <c r="I16" s="82">
        <v>0.105</v>
      </c>
      <c r="J16" s="82">
        <v>0.105</v>
      </c>
      <c r="N16" s="5" t="s">
        <v>104</v>
      </c>
      <c r="O16" s="210">
        <v>0.05</v>
      </c>
    </row>
    <row r="17" spans="2:17" s="57" customFormat="1" ht="15">
      <c r="B17" s="65"/>
      <c r="C17" s="64"/>
      <c r="D17" s="64"/>
      <c r="E17" s="63"/>
      <c r="F17" s="76"/>
      <c r="N17" s="5" t="s">
        <v>106</v>
      </c>
      <c r="O17" s="210">
        <v>0.21</v>
      </c>
      <c r="Q17" s="57" t="s">
        <v>154</v>
      </c>
    </row>
    <row r="18" spans="2:17" s="57" customFormat="1" ht="15">
      <c r="B18" s="65" t="s">
        <v>107</v>
      </c>
      <c r="C18" s="85">
        <f>C15-C21</f>
        <v>-4105</v>
      </c>
      <c r="D18" s="85">
        <f>D15-D21</f>
        <v>2320</v>
      </c>
      <c r="E18" s="85">
        <f>E15-E21</f>
        <v>1711</v>
      </c>
      <c r="F18" s="83">
        <f>F19*F12</f>
        <v>1768.6231199999997</v>
      </c>
      <c r="G18" s="84">
        <f>G19*G12</f>
        <v>1803.9464539799997</v>
      </c>
      <c r="H18" s="84">
        <f>H19*H12</f>
        <v>1841.4586555846797</v>
      </c>
      <c r="I18" s="84">
        <f>I19*I12</f>
        <v>1881.2739778675916</v>
      </c>
      <c r="J18" s="84">
        <f>J19*J12</f>
        <v>1923.5148495839783</v>
      </c>
      <c r="N18" s="7" t="s">
        <v>108</v>
      </c>
      <c r="O18" s="11">
        <f>O16*(1-O17)</f>
        <v>3.9500000000000007E-2</v>
      </c>
    </row>
    <row r="19" spans="2:17" s="57" customFormat="1" ht="15">
      <c r="B19" s="61" t="s">
        <v>109</v>
      </c>
      <c r="C19" s="211">
        <f>C18/C12</f>
        <v>-0.23665398362734924</v>
      </c>
      <c r="D19" s="211">
        <f>D18/D12</f>
        <v>9.4848732624693372E-2</v>
      </c>
      <c r="E19" s="211">
        <f>E18/E12</f>
        <v>7.0002454790933644E-2</v>
      </c>
      <c r="F19" s="81">
        <v>7.1999999999999995E-2</v>
      </c>
      <c r="G19" s="82">
        <v>7.2999999999999995E-2</v>
      </c>
      <c r="H19" s="82">
        <v>7.3999999999999996E-2</v>
      </c>
      <c r="I19" s="82">
        <v>7.4999999999999997E-2</v>
      </c>
      <c r="J19" s="82">
        <v>7.5999999999999998E-2</v>
      </c>
      <c r="N19"/>
      <c r="O19"/>
    </row>
    <row r="20" spans="2:17" s="57" customFormat="1" ht="15">
      <c r="B20" s="65"/>
      <c r="C20" s="64"/>
      <c r="D20" s="64"/>
      <c r="E20" s="63"/>
      <c r="F20" s="76"/>
      <c r="N20" s="9" t="s">
        <v>110</v>
      </c>
      <c r="O20" s="10"/>
    </row>
    <row r="21" spans="2:17" s="57" customFormat="1" ht="15">
      <c r="B21" s="65" t="s">
        <v>111</v>
      </c>
      <c r="C21" s="78">
        <v>959</v>
      </c>
      <c r="D21" s="78">
        <v>874</v>
      </c>
      <c r="E21" s="78">
        <v>857</v>
      </c>
      <c r="F21" s="83">
        <f>F22*F12</f>
        <v>859.7473500000001</v>
      </c>
      <c r="G21" s="84">
        <f>G22*G12</f>
        <v>914.32902461999993</v>
      </c>
      <c r="H21" s="84">
        <f>H22*H12</f>
        <v>895.84475136551976</v>
      </c>
      <c r="I21" s="84">
        <f>I22*I12</f>
        <v>928.0951624146785</v>
      </c>
      <c r="J21" s="84">
        <f>J22*J12</f>
        <v>961.75742479198914</v>
      </c>
      <c r="N21" s="5" t="s">
        <v>112</v>
      </c>
      <c r="O21" s="208">
        <v>4.1000000000000002E-2</v>
      </c>
    </row>
    <row r="22" spans="2:17" s="57" customFormat="1" ht="15">
      <c r="B22" s="61" t="s">
        <v>113</v>
      </c>
      <c r="C22" s="211">
        <f>C21/C12</f>
        <v>5.5286521388216305E-2</v>
      </c>
      <c r="D22" s="211">
        <f>D21/D12</f>
        <v>3.5731807031888801E-2</v>
      </c>
      <c r="E22" s="211">
        <f>E21/E12</f>
        <v>3.5062597168807788E-2</v>
      </c>
      <c r="F22" s="81">
        <v>3.5000000000000003E-2</v>
      </c>
      <c r="G22" s="82">
        <v>3.6999999999999998E-2</v>
      </c>
      <c r="H22" s="82">
        <v>3.5999999999999997E-2</v>
      </c>
      <c r="I22" s="82">
        <v>3.6999999999999998E-2</v>
      </c>
      <c r="J22" s="82">
        <v>3.7999999999999999E-2</v>
      </c>
      <c r="N22" s="5" t="s">
        <v>114</v>
      </c>
      <c r="O22" s="6">
        <v>0.114</v>
      </c>
    </row>
    <row r="23" spans="2:17" s="57" customFormat="1" ht="15">
      <c r="B23" s="65"/>
      <c r="C23" s="64"/>
      <c r="D23" s="64"/>
      <c r="E23" s="63"/>
      <c r="F23" s="76"/>
      <c r="N23" s="5" t="s">
        <v>115</v>
      </c>
      <c r="O23" s="209">
        <v>1.04</v>
      </c>
    </row>
    <row r="24" spans="2:17" s="57" customFormat="1" ht="18.75">
      <c r="B24" s="266" t="s">
        <v>116</v>
      </c>
      <c r="C24" s="86"/>
      <c r="D24" s="86"/>
      <c r="E24" s="86"/>
      <c r="F24" s="86"/>
      <c r="G24" s="86"/>
      <c r="H24" s="86"/>
      <c r="I24" s="86"/>
      <c r="J24" s="86"/>
      <c r="N24" s="7" t="s">
        <v>110</v>
      </c>
      <c r="O24" s="11">
        <f>O21+O23*O22</f>
        <v>0.15956000000000001</v>
      </c>
    </row>
    <row r="25" spans="2:17" s="57" customFormat="1" ht="15">
      <c r="B25" s="65"/>
      <c r="C25" s="265"/>
      <c r="D25" s="65"/>
      <c r="E25" s="74"/>
      <c r="F25" s="332" t="s">
        <v>94</v>
      </c>
      <c r="G25" s="333"/>
      <c r="H25" s="333"/>
      <c r="I25" s="333"/>
      <c r="J25" s="334"/>
      <c r="N25"/>
      <c r="O25"/>
    </row>
    <row r="26" spans="2:17" s="57" customFormat="1" ht="15">
      <c r="B26" s="20"/>
      <c r="C26" s="264">
        <f>F26-3</f>
        <v>2020</v>
      </c>
      <c r="D26" s="72">
        <f>G26-3</f>
        <v>2021</v>
      </c>
      <c r="E26" s="72">
        <f>G26-2</f>
        <v>2022</v>
      </c>
      <c r="F26" s="75">
        <v>2023</v>
      </c>
      <c r="G26" s="72">
        <v>2024</v>
      </c>
      <c r="H26" s="72">
        <v>2025</v>
      </c>
      <c r="I26" s="72">
        <v>2026</v>
      </c>
      <c r="J26" s="72">
        <v>2027</v>
      </c>
      <c r="N26" s="13" t="s">
        <v>117</v>
      </c>
      <c r="O26" s="12">
        <f>O12*O18+O13*O24</f>
        <v>8.792101182541584E-2</v>
      </c>
    </row>
    <row r="27" spans="2:17" s="57" customFormat="1" ht="15">
      <c r="B27" s="55" t="s">
        <v>97</v>
      </c>
      <c r="C27" s="250"/>
      <c r="D27" s="27"/>
      <c r="E27" s="27"/>
      <c r="F27" s="54">
        <v>1</v>
      </c>
      <c r="G27" s="54">
        <f>F27+1</f>
        <v>2</v>
      </c>
      <c r="H27" s="54">
        <f>G27+1</f>
        <v>3</v>
      </c>
      <c r="I27" s="54">
        <f>H27+1</f>
        <v>4</v>
      </c>
      <c r="J27" s="54">
        <f>I27+1</f>
        <v>5</v>
      </c>
    </row>
    <row r="28" spans="2:17" s="57" customFormat="1" ht="15">
      <c r="B28" s="65" t="s">
        <v>118</v>
      </c>
      <c r="C28" s="251">
        <v>1679</v>
      </c>
      <c r="D28" s="78">
        <v>1712</v>
      </c>
      <c r="E28" s="78">
        <v>862</v>
      </c>
      <c r="F28" s="89">
        <f>E28*(1+F38)</f>
        <v>862</v>
      </c>
      <c r="G28" s="90">
        <f>F28*(1+G38)</f>
        <v>862</v>
      </c>
      <c r="H28" s="90">
        <f>G28*(1+H38)</f>
        <v>862</v>
      </c>
      <c r="I28" s="90">
        <f>H28*(1+I38)</f>
        <v>862</v>
      </c>
      <c r="J28" s="90">
        <f>I28*(1+J38)</f>
        <v>862</v>
      </c>
    </row>
    <row r="29" spans="2:17" s="57" customFormat="1" ht="15">
      <c r="B29" s="48" t="s">
        <v>119</v>
      </c>
      <c r="C29" s="252">
        <v>276</v>
      </c>
      <c r="D29" s="91">
        <v>297</v>
      </c>
      <c r="E29" s="91">
        <v>300</v>
      </c>
      <c r="F29" s="89">
        <f>E29*(1+F39)</f>
        <v>303</v>
      </c>
      <c r="G29" s="90">
        <f>F29*(1+G39)</f>
        <v>309.06</v>
      </c>
      <c r="H29" s="90">
        <f>G29*(1+H39)</f>
        <v>318.33179999999999</v>
      </c>
      <c r="I29" s="90">
        <f>H29*(1+I39)</f>
        <v>331.06507199999999</v>
      </c>
      <c r="J29" s="90">
        <f>I29*(1+J39)</f>
        <v>347.61832559999999</v>
      </c>
      <c r="M29" s="277">
        <f>((D12-C12)/D12)</f>
        <v>0.29084219133278821</v>
      </c>
      <c r="N29" s="277">
        <f>((E12-D12)/E12)</f>
        <v>-7.3643728009164557E-4</v>
      </c>
    </row>
    <row r="30" spans="2:17" s="57" customFormat="1" ht="15">
      <c r="B30" s="48" t="s">
        <v>120</v>
      </c>
      <c r="C30" s="246">
        <v>3774</v>
      </c>
      <c r="D30" s="85">
        <v>4383</v>
      </c>
      <c r="E30" s="85">
        <v>4267</v>
      </c>
      <c r="F30" s="89">
        <f>E30*(1+F40)</f>
        <v>4760</v>
      </c>
      <c r="G30" s="90">
        <f>F30*(1+G40)</f>
        <v>5307.4</v>
      </c>
      <c r="H30" s="90">
        <f>G30*(1+H40)</f>
        <v>5917.7509999999993</v>
      </c>
      <c r="I30" s="90">
        <f>H30*(1+I40)</f>
        <v>6598.2923649999993</v>
      </c>
      <c r="J30" s="90">
        <f>I30*(1+J40)</f>
        <v>7357.0959869749995</v>
      </c>
    </row>
    <row r="31" spans="2:17" s="57" customFormat="1" ht="15">
      <c r="B31" s="48" t="s">
        <v>121</v>
      </c>
      <c r="C31" s="246">
        <v>455</v>
      </c>
      <c r="D31" s="85">
        <v>366</v>
      </c>
      <c r="E31" s="85">
        <v>424</v>
      </c>
      <c r="F31" s="89">
        <f>E31*(1+F41)</f>
        <v>393</v>
      </c>
      <c r="G31" s="90">
        <f>F31*(1+G41)</f>
        <v>363.13200000000001</v>
      </c>
      <c r="H31" s="90">
        <f>G31*(1+H41)</f>
        <v>334.08144000000004</v>
      </c>
      <c r="I31" s="90">
        <f>H31*(1+I41)</f>
        <v>306.35268048000006</v>
      </c>
      <c r="J31" s="90">
        <f>I31*(1+J41)</f>
        <v>280.00634995872008</v>
      </c>
    </row>
    <row r="32" spans="2:17" s="57" customFormat="1" ht="15">
      <c r="B32" s="48"/>
      <c r="C32" s="246"/>
      <c r="D32" s="85"/>
      <c r="E32" s="85"/>
      <c r="F32" s="89"/>
      <c r="G32" s="90"/>
      <c r="H32" s="90"/>
      <c r="I32" s="90"/>
      <c r="J32" s="90"/>
    </row>
    <row r="33" spans="1:16" s="57" customFormat="1" ht="15">
      <c r="B33" s="65"/>
      <c r="C33" s="253"/>
      <c r="D33" s="64"/>
      <c r="E33" s="63"/>
      <c r="F33" s="249"/>
    </row>
    <row r="34" spans="1:16" s="57" customFormat="1" ht="15">
      <c r="B34" s="48" t="s">
        <v>122</v>
      </c>
      <c r="C34" s="251">
        <v>2927</v>
      </c>
      <c r="D34" s="78">
        <v>3086</v>
      </c>
      <c r="E34" s="78">
        <v>2750</v>
      </c>
      <c r="F34" s="248">
        <f>E34*(1+F$42)</f>
        <v>2573</v>
      </c>
      <c r="G34" s="80">
        <f>F34*(1+G$42)</f>
        <v>2433.1223636363634</v>
      </c>
      <c r="H34" s="80">
        <f>G34*(1+H$42)</f>
        <v>2325.1802078677683</v>
      </c>
      <c r="I34" s="80">
        <f>H34*(1+I$42)</f>
        <v>2245.278560724676</v>
      </c>
      <c r="J34" s="80">
        <f>I34*(1+J$42)</f>
        <v>2190.575410336111</v>
      </c>
    </row>
    <row r="35" spans="1:16" s="57" customFormat="1" ht="15">
      <c r="B35" s="65" t="s">
        <v>123</v>
      </c>
      <c r="C35" s="246">
        <f>4407+3185+908+1296</f>
        <v>9796</v>
      </c>
      <c r="D35" s="85">
        <f>3295+3098+983+1177</f>
        <v>8553</v>
      </c>
      <c r="E35" s="85">
        <f>2996+2963+947+1017</f>
        <v>7923</v>
      </c>
      <c r="F35" s="248">
        <f>E35*(1+F$44)</f>
        <v>8002.2300000000005</v>
      </c>
      <c r="G35" s="80">
        <f>F35*(1+G$44)</f>
        <v>8162.2746000000006</v>
      </c>
      <c r="H35" s="80">
        <f>G35*(1+H$44)</f>
        <v>8366.3314649999993</v>
      </c>
      <c r="I35" s="80">
        <f>H35*(1+I$44)</f>
        <v>8617.3214089499997</v>
      </c>
      <c r="J35" s="80">
        <f>I35*(1+J$44)</f>
        <v>8918.9276582632483</v>
      </c>
    </row>
    <row r="36" spans="1:16" s="57" customFormat="1" ht="15">
      <c r="B36" s="65"/>
      <c r="C36" s="253"/>
      <c r="D36" s="64"/>
      <c r="E36" s="63"/>
      <c r="F36" s="249"/>
    </row>
    <row r="37" spans="1:16" s="57" customFormat="1" ht="15">
      <c r="B37" s="65" t="s">
        <v>124</v>
      </c>
      <c r="C37" s="246">
        <v>466</v>
      </c>
      <c r="D37" s="246">
        <v>597</v>
      </c>
      <c r="E37" s="85">
        <v>1295</v>
      </c>
      <c r="F37" s="249">
        <f>E37*(1+F$43)</f>
        <v>1605.8</v>
      </c>
      <c r="G37" s="92">
        <f>F37*(1+G$43)</f>
        <v>2007.25</v>
      </c>
      <c r="H37" s="92">
        <f>G37*(1+H$43)</f>
        <v>2529.1350000000002</v>
      </c>
      <c r="I37" s="92">
        <f>H37*(1+I$43)</f>
        <v>3212.0014500000002</v>
      </c>
      <c r="J37" s="92">
        <f>I37*(1+J$43)</f>
        <v>4175.601885</v>
      </c>
    </row>
    <row r="38" spans="1:16" s="57" customFormat="1" ht="15">
      <c r="B38" s="65"/>
      <c r="C38" s="65"/>
      <c r="D38" s="64"/>
      <c r="E38" s="63"/>
      <c r="F38" s="249"/>
    </row>
    <row r="39" spans="1:16" s="57" customFormat="1" ht="15">
      <c r="B39" s="62" t="s">
        <v>125</v>
      </c>
      <c r="C39" s="60"/>
      <c r="D39" s="221"/>
      <c r="E39" s="256"/>
      <c r="F39" s="261">
        <v>0.01</v>
      </c>
      <c r="G39" s="261">
        <v>0.02</v>
      </c>
      <c r="H39" s="261">
        <v>0.03</v>
      </c>
      <c r="I39" s="261">
        <v>0.04</v>
      </c>
      <c r="J39" s="261">
        <v>0.05</v>
      </c>
      <c r="L39" s="262"/>
      <c r="M39" s="262"/>
      <c r="N39" s="262"/>
      <c r="O39" s="262"/>
      <c r="P39" s="262"/>
    </row>
    <row r="40" spans="1:16" s="57" customFormat="1" ht="15">
      <c r="B40" s="62" t="s">
        <v>126</v>
      </c>
      <c r="C40" s="60"/>
      <c r="D40" s="59"/>
      <c r="E40" s="58"/>
      <c r="F40" s="261">
        <f>(E30-C30)/E30</f>
        <v>0.11553784860557768</v>
      </c>
      <c r="G40" s="262">
        <v>0.115</v>
      </c>
      <c r="H40" s="262">
        <v>0.115</v>
      </c>
      <c r="I40" s="262">
        <v>0.115</v>
      </c>
      <c r="J40" s="262">
        <v>0.115</v>
      </c>
      <c r="L40" s="262"/>
      <c r="M40" s="262"/>
      <c r="N40" s="262"/>
      <c r="O40" s="262"/>
      <c r="P40" s="262"/>
    </row>
    <row r="41" spans="1:16" s="57" customFormat="1" ht="15">
      <c r="B41" s="62" t="s">
        <v>127</v>
      </c>
      <c r="C41" s="60"/>
      <c r="D41" s="59"/>
      <c r="E41" s="58"/>
      <c r="F41" s="261">
        <f>(E31-C31)/E31</f>
        <v>-7.3113207547169809E-2</v>
      </c>
      <c r="G41" s="262">
        <v>-7.5999999999999998E-2</v>
      </c>
      <c r="H41" s="262">
        <v>-0.08</v>
      </c>
      <c r="I41" s="262">
        <v>-8.3000000000000004E-2</v>
      </c>
      <c r="J41" s="262">
        <v>-8.5999999999999993E-2</v>
      </c>
      <c r="L41" s="262"/>
      <c r="M41" s="262"/>
      <c r="N41" s="262"/>
      <c r="O41" s="262"/>
      <c r="P41" s="262"/>
    </row>
    <row r="42" spans="1:16" s="57" customFormat="1" ht="15">
      <c r="B42" s="62" t="s">
        <v>128</v>
      </c>
      <c r="C42" s="60"/>
      <c r="D42" s="59"/>
      <c r="E42" s="58"/>
      <c r="F42" s="261">
        <f>(E34-C34)/E34</f>
        <v>-6.4363636363636359E-2</v>
      </c>
      <c r="G42" s="262">
        <f>F42+1%</f>
        <v>-5.4363636363636357E-2</v>
      </c>
      <c r="H42" s="262">
        <f>G42+1%</f>
        <v>-4.4363636363636355E-2</v>
      </c>
      <c r="I42" s="262">
        <f>H42+1%</f>
        <v>-3.4363636363636353E-2</v>
      </c>
      <c r="J42" s="262">
        <f>I42+1%</f>
        <v>-2.4363636363636351E-2</v>
      </c>
      <c r="L42" s="262"/>
      <c r="M42" s="262"/>
      <c r="N42" s="262"/>
      <c r="O42" s="262"/>
      <c r="P42" s="262"/>
    </row>
    <row r="43" spans="1:16" s="57" customFormat="1" ht="15">
      <c r="B43" s="61" t="s">
        <v>129</v>
      </c>
      <c r="C43" s="60"/>
      <c r="D43" s="59"/>
      <c r="E43" s="58"/>
      <c r="F43" s="261">
        <v>0.24</v>
      </c>
      <c r="G43" s="262">
        <v>0.25</v>
      </c>
      <c r="H43" s="262">
        <v>0.26</v>
      </c>
      <c r="I43" s="262">
        <v>0.27</v>
      </c>
      <c r="J43" s="262">
        <v>0.3</v>
      </c>
      <c r="L43" s="262"/>
      <c r="M43" s="262"/>
      <c r="N43" s="262"/>
      <c r="O43" s="262"/>
      <c r="P43" s="262"/>
    </row>
    <row r="44" spans="1:16" s="57" customFormat="1" ht="15">
      <c r="B44" s="61" t="s">
        <v>153</v>
      </c>
      <c r="C44" s="60"/>
      <c r="D44" s="59"/>
      <c r="E44" s="58"/>
      <c r="F44" s="259">
        <v>0.01</v>
      </c>
      <c r="G44" s="260">
        <f>F44+1%</f>
        <v>0.02</v>
      </c>
      <c r="H44" s="260">
        <v>2.5000000000000001E-2</v>
      </c>
      <c r="I44" s="260">
        <v>0.03</v>
      </c>
      <c r="J44" s="260">
        <v>3.5000000000000003E-2</v>
      </c>
      <c r="L44" s="260"/>
      <c r="M44" s="260"/>
      <c r="N44" s="260"/>
      <c r="O44" s="260"/>
      <c r="P44" s="260"/>
    </row>
    <row r="45" spans="1:16" s="57" customFormat="1" ht="15">
      <c r="B45" s="61"/>
      <c r="C45" s="60"/>
      <c r="D45" s="59"/>
      <c r="E45" s="58"/>
      <c r="F45" s="260"/>
      <c r="G45" s="260"/>
      <c r="H45" s="260"/>
      <c r="I45" s="260"/>
      <c r="J45" s="260"/>
      <c r="L45" s="260"/>
      <c r="M45" s="260"/>
      <c r="N45" s="260"/>
      <c r="O45" s="260"/>
      <c r="P45" s="260"/>
    </row>
    <row r="46" spans="1:16" s="57" customFormat="1" ht="15">
      <c r="B46" s="61"/>
      <c r="C46" s="60"/>
      <c r="D46" s="59"/>
      <c r="E46" s="58"/>
      <c r="F46" s="260"/>
      <c r="G46" s="260"/>
      <c r="H46" s="260"/>
      <c r="I46" s="260"/>
      <c r="J46" s="260"/>
      <c r="L46" s="260"/>
      <c r="M46" s="260"/>
      <c r="N46" s="260"/>
      <c r="O46" s="260"/>
      <c r="P46" s="260"/>
    </row>
    <row r="47" spans="1:16" s="19" customFormat="1" ht="18.75">
      <c r="A47" s="96"/>
      <c r="B47" s="86"/>
      <c r="C47" s="86"/>
      <c r="D47" s="86"/>
      <c r="E47" s="86"/>
      <c r="F47" s="86"/>
      <c r="G47" s="86"/>
      <c r="H47" s="86"/>
      <c r="I47" s="86"/>
      <c r="J47" s="86"/>
    </row>
    <row r="48" spans="1:16" s="19" customFormat="1" ht="15">
      <c r="B48" s="56" t="s">
        <v>131</v>
      </c>
      <c r="C48" s="93"/>
      <c r="D48" s="94"/>
      <c r="E48" s="95"/>
      <c r="F48" s="332" t="s">
        <v>94</v>
      </c>
      <c r="G48" s="333"/>
      <c r="H48" s="333"/>
      <c r="I48" s="333"/>
      <c r="J48" s="334"/>
    </row>
    <row r="49" spans="2:10" s="19" customFormat="1" ht="15">
      <c r="B49" s="20"/>
      <c r="C49" s="72">
        <f>F49-3</f>
        <v>2020</v>
      </c>
      <c r="D49" s="72">
        <f>F49-2</f>
        <v>2021</v>
      </c>
      <c r="E49" s="72">
        <f>F49-1</f>
        <v>2022</v>
      </c>
      <c r="F49" s="75">
        <v>2023</v>
      </c>
      <c r="G49" s="72">
        <f>$F$10+F50</f>
        <v>2024</v>
      </c>
      <c r="H49" s="72">
        <f t="shared" ref="H49:J49" si="1">$F$10+G50</f>
        <v>2025</v>
      </c>
      <c r="I49" s="72">
        <f t="shared" si="1"/>
        <v>2026</v>
      </c>
      <c r="J49" s="72">
        <f t="shared" si="1"/>
        <v>2027</v>
      </c>
    </row>
    <row r="50" spans="2:10" s="19" customFormat="1" ht="15">
      <c r="B50" s="55" t="s">
        <v>97</v>
      </c>
      <c r="C50" s="27"/>
      <c r="D50" s="27"/>
      <c r="E50" s="27"/>
      <c r="F50" s="54">
        <v>1</v>
      </c>
      <c r="G50" s="54">
        <f>F50+1</f>
        <v>2</v>
      </c>
      <c r="H50" s="54">
        <f>G50+1</f>
        <v>3</v>
      </c>
      <c r="I50" s="54">
        <f>H50+1</f>
        <v>4</v>
      </c>
      <c r="J50" s="54">
        <f>I50+1</f>
        <v>5</v>
      </c>
    </row>
    <row r="51" spans="2:10" s="19" customFormat="1" ht="15">
      <c r="B51" s="19" t="s">
        <v>132</v>
      </c>
      <c r="C51" s="53"/>
      <c r="D51" s="53"/>
      <c r="E51" s="52"/>
      <c r="F51" s="52">
        <f>F12</f>
        <v>24564.21</v>
      </c>
      <c r="G51" s="52">
        <f t="shared" ref="G51:J51" si="2">G12</f>
        <v>24711.595259999998</v>
      </c>
      <c r="H51" s="52">
        <f t="shared" si="2"/>
        <v>24884.576426819996</v>
      </c>
      <c r="I51" s="52">
        <f t="shared" si="2"/>
        <v>25083.653038234555</v>
      </c>
      <c r="J51" s="52">
        <f t="shared" si="2"/>
        <v>25309.405915578664</v>
      </c>
    </row>
    <row r="52" spans="2:10" s="19" customFormat="1" ht="15">
      <c r="B52" s="51" t="s">
        <v>103</v>
      </c>
      <c r="C52" s="35"/>
      <c r="D52" s="35"/>
      <c r="E52" s="35"/>
      <c r="F52" s="222">
        <f>F15</f>
        <v>2628.3704699999998</v>
      </c>
      <c r="G52" s="222">
        <f t="shared" ref="G52:J52" si="3">G15</f>
        <v>2594.7175022999995</v>
      </c>
      <c r="H52" s="222">
        <f t="shared" si="3"/>
        <v>2612.8805248160998</v>
      </c>
      <c r="I52" s="222">
        <f t="shared" si="3"/>
        <v>2633.783569014628</v>
      </c>
      <c r="J52" s="222">
        <f t="shared" si="3"/>
        <v>2657.4876211357596</v>
      </c>
    </row>
    <row r="53" spans="2:10" s="19" customFormat="1" ht="15">
      <c r="B53" s="19" t="s">
        <v>107</v>
      </c>
      <c r="C53" s="35"/>
      <c r="D53" s="35"/>
      <c r="E53" s="35"/>
      <c r="F53" s="222">
        <f>F18</f>
        <v>1768.6231199999997</v>
      </c>
      <c r="G53" s="222">
        <f t="shared" ref="G53:J53" si="4">G18</f>
        <v>1803.9464539799997</v>
      </c>
      <c r="H53" s="222">
        <f t="shared" si="4"/>
        <v>1841.4586555846797</v>
      </c>
      <c r="I53" s="222">
        <f t="shared" si="4"/>
        <v>1881.2739778675916</v>
      </c>
      <c r="J53" s="222">
        <f t="shared" si="4"/>
        <v>1923.5148495839783</v>
      </c>
    </row>
    <row r="54" spans="2:10" s="19" customFormat="1" ht="15">
      <c r="B54" s="19" t="s">
        <v>133</v>
      </c>
      <c r="C54" s="50"/>
      <c r="D54" s="50"/>
      <c r="E54" s="50"/>
      <c r="F54" s="97">
        <v>0.21</v>
      </c>
      <c r="G54" s="97">
        <v>0.21</v>
      </c>
      <c r="H54" s="97">
        <v>0.21</v>
      </c>
      <c r="I54" s="97">
        <v>0.21</v>
      </c>
      <c r="J54" s="97">
        <v>0.21</v>
      </c>
    </row>
    <row r="55" spans="2:10" s="19" customFormat="1" ht="15">
      <c r="B55" s="20" t="s">
        <v>134</v>
      </c>
      <c r="C55" s="46"/>
      <c r="D55" s="46"/>
      <c r="E55" s="46"/>
      <c r="F55" s="33">
        <f>F53*(1-F54)</f>
        <v>1397.2122648</v>
      </c>
      <c r="G55" s="33">
        <f t="shared" ref="G55:J55" si="5">G53*(1-G54)</f>
        <v>1425.1176986441999</v>
      </c>
      <c r="H55" s="33">
        <f t="shared" si="5"/>
        <v>1454.752337911897</v>
      </c>
      <c r="I55" s="33">
        <f t="shared" si="5"/>
        <v>1486.2064425153974</v>
      </c>
      <c r="J55" s="33">
        <f>J53*(1-J54)</f>
        <v>1519.576731171343</v>
      </c>
    </row>
    <row r="56" spans="2:10" s="19" customFormat="1" ht="15">
      <c r="B56" s="47" t="s">
        <v>135</v>
      </c>
      <c r="C56" s="37"/>
      <c r="D56" s="37"/>
      <c r="E56" s="37"/>
      <c r="F56" s="49">
        <f>F21</f>
        <v>859.7473500000001</v>
      </c>
      <c r="G56" s="49">
        <f t="shared" ref="G56:J56" si="6">G21</f>
        <v>914.32902461999993</v>
      </c>
      <c r="H56" s="49">
        <f t="shared" si="6"/>
        <v>895.84475136551976</v>
      </c>
      <c r="I56" s="49">
        <f t="shared" si="6"/>
        <v>928.0951624146785</v>
      </c>
      <c r="J56" s="49">
        <f>J21</f>
        <v>961.75742479198914</v>
      </c>
    </row>
    <row r="57" spans="2:10" s="19" customFormat="1" ht="15">
      <c r="B57" s="48" t="s">
        <v>136</v>
      </c>
      <c r="C57" s="37"/>
      <c r="D57" s="37"/>
      <c r="E57" s="37"/>
      <c r="F57" s="37">
        <f>-(F29-E29)</f>
        <v>-3</v>
      </c>
      <c r="G57" s="37">
        <f>-(G29-F29)</f>
        <v>-6.0600000000000023</v>
      </c>
      <c r="H57" s="37">
        <f t="shared" ref="G57:J59" si="7">-(H29-G29)</f>
        <v>-9.2717999999999847</v>
      </c>
      <c r="I57" s="37">
        <f t="shared" si="7"/>
        <v>-12.733271999999999</v>
      </c>
      <c r="J57" s="37">
        <f>-(J29-I29)</f>
        <v>-16.553253600000005</v>
      </c>
    </row>
    <row r="58" spans="2:10" s="19" customFormat="1" ht="15">
      <c r="B58" s="48" t="s">
        <v>120</v>
      </c>
      <c r="C58" s="37"/>
      <c r="D58" s="37"/>
      <c r="E58" s="37"/>
      <c r="F58" s="37">
        <f>-(F30-E30)</f>
        <v>-493</v>
      </c>
      <c r="G58" s="37">
        <f t="shared" si="7"/>
        <v>-547.39999999999964</v>
      </c>
      <c r="H58" s="37">
        <f t="shared" si="7"/>
        <v>-610.35099999999966</v>
      </c>
      <c r="I58" s="37">
        <f t="shared" si="7"/>
        <v>-680.54136500000004</v>
      </c>
      <c r="J58" s="37">
        <f t="shared" si="7"/>
        <v>-758.80362197500017</v>
      </c>
    </row>
    <row r="59" spans="2:10" s="19" customFormat="1" ht="15">
      <c r="B59" s="48" t="s">
        <v>137</v>
      </c>
      <c r="C59" s="37"/>
      <c r="D59" s="37"/>
      <c r="E59" s="37"/>
      <c r="F59" s="37">
        <f>-(F31-E31)</f>
        <v>31</v>
      </c>
      <c r="G59" s="37">
        <f t="shared" si="7"/>
        <v>29.867999999999995</v>
      </c>
      <c r="H59" s="37">
        <f t="shared" si="7"/>
        <v>29.050559999999962</v>
      </c>
      <c r="I59" s="37">
        <f t="shared" si="7"/>
        <v>27.728759519999983</v>
      </c>
      <c r="J59" s="37">
        <f t="shared" si="7"/>
        <v>26.346330521279981</v>
      </c>
    </row>
    <row r="60" spans="2:10" s="19" customFormat="1" ht="15">
      <c r="B60" s="48" t="s">
        <v>138</v>
      </c>
      <c r="C60" s="37"/>
      <c r="D60" s="37"/>
      <c r="E60" s="37"/>
      <c r="F60" s="37">
        <f>F34-E34</f>
        <v>-177</v>
      </c>
      <c r="G60" s="37">
        <f>G34-F34</f>
        <v>-139.87763636363661</v>
      </c>
      <c r="H60" s="37">
        <f t="shared" ref="G60:J60" si="8">H34-G34</f>
        <v>-107.94215576859506</v>
      </c>
      <c r="I60" s="37">
        <f t="shared" si="8"/>
        <v>-79.901647143092305</v>
      </c>
      <c r="J60" s="37">
        <f t="shared" si="8"/>
        <v>-54.703150388565064</v>
      </c>
    </row>
    <row r="61" spans="2:10" s="19" customFormat="1" ht="15">
      <c r="B61" s="47" t="s">
        <v>139</v>
      </c>
      <c r="C61" s="37"/>
      <c r="D61" s="37"/>
      <c r="E61" s="37"/>
      <c r="F61" s="37">
        <f>-(F37-E37)</f>
        <v>-310.79999999999995</v>
      </c>
      <c r="G61" s="37">
        <f>-(G37-F37)</f>
        <v>-401.45000000000005</v>
      </c>
      <c r="H61" s="37">
        <f>-(H37-G37)</f>
        <v>-521.88500000000022</v>
      </c>
      <c r="I61" s="37">
        <f>-(I37-H37)</f>
        <v>-682.86644999999999</v>
      </c>
      <c r="J61" s="37">
        <f>-(J37-I37)</f>
        <v>-963.60043499999983</v>
      </c>
    </row>
    <row r="62" spans="2:10" s="19" customFormat="1" ht="15">
      <c r="B62" s="20" t="s">
        <v>140</v>
      </c>
      <c r="C62" s="46"/>
      <c r="D62" s="46"/>
      <c r="E62" s="46"/>
      <c r="F62" s="33">
        <f>SUM(F55:F61)</f>
        <v>1304.1596148000001</v>
      </c>
      <c r="G62" s="33">
        <f>SUM(G55:G61)</f>
        <v>1274.5270869005637</v>
      </c>
      <c r="H62" s="33">
        <f>SUM(H55:H61)</f>
        <v>1130.1976935088217</v>
      </c>
      <c r="I62" s="33">
        <f>SUM(I55:I61)</f>
        <v>985.98763030698365</v>
      </c>
      <c r="J62" s="33">
        <f>SUM(J55:J61)</f>
        <v>714.02002552104705</v>
      </c>
    </row>
    <row r="63" spans="2:10" s="19" customFormat="1" ht="15">
      <c r="B63" s="32" t="s">
        <v>141</v>
      </c>
      <c r="C63" s="45"/>
      <c r="D63" s="44"/>
      <c r="E63" s="44"/>
      <c r="F63" s="44">
        <f>$O$26</f>
        <v>8.792101182541584E-2</v>
      </c>
      <c r="G63" s="44">
        <f t="shared" ref="G63:J63" si="9">$O$26</f>
        <v>8.792101182541584E-2</v>
      </c>
      <c r="H63" s="44">
        <f t="shared" si="9"/>
        <v>8.792101182541584E-2</v>
      </c>
      <c r="I63" s="44">
        <f t="shared" si="9"/>
        <v>8.792101182541584E-2</v>
      </c>
      <c r="J63" s="44">
        <f t="shared" si="9"/>
        <v>8.792101182541584E-2</v>
      </c>
    </row>
    <row r="64" spans="2:10" s="19" customFormat="1" ht="15">
      <c r="B64" s="32" t="s">
        <v>142</v>
      </c>
      <c r="C64" s="36"/>
      <c r="D64" s="36"/>
      <c r="E64" s="36"/>
      <c r="F64" s="36">
        <f>F62/(1+F63)^F50</f>
        <v>1198.7631460594357</v>
      </c>
      <c r="G64" s="36">
        <f>G62/(1+G63)^G50</f>
        <v>1076.8478378121602</v>
      </c>
      <c r="H64" s="36">
        <f>H62/(1+H63)^H50</f>
        <v>877.73278946119638</v>
      </c>
      <c r="I64" s="36">
        <f>I62/(1+I63)^I50</f>
        <v>703.8530676875713</v>
      </c>
      <c r="J64" s="36">
        <f>J62/(1+J63)^J50</f>
        <v>468.51507439420357</v>
      </c>
    </row>
    <row r="65" spans="2:7" s="19" customFormat="1" ht="15">
      <c r="B65" s="20" t="s">
        <v>143</v>
      </c>
      <c r="C65" s="46">
        <f>SUM(F64:J64)</f>
        <v>4325.7119154145666</v>
      </c>
    </row>
    <row r="66" spans="2:7" s="19" customFormat="1" ht="15"/>
    <row r="67" spans="2:7" s="19" customFormat="1" ht="18.75">
      <c r="B67" s="86" t="s">
        <v>144</v>
      </c>
      <c r="C67" s="86"/>
    </row>
    <row r="68" spans="2:7" s="19" customFormat="1" ht="15">
      <c r="B68" s="43" t="s">
        <v>145</v>
      </c>
      <c r="C68" s="42"/>
      <c r="F68" s="22"/>
      <c r="G68" s="42"/>
    </row>
    <row r="69" spans="2:7" s="270" customFormat="1" ht="15">
      <c r="B69" s="270" t="s">
        <v>146</v>
      </c>
      <c r="C69" s="317">
        <v>2.5000000000000001E-2</v>
      </c>
      <c r="F69" s="272"/>
      <c r="G69" s="271"/>
    </row>
    <row r="70" spans="2:7" s="19" customFormat="1" ht="15">
      <c r="B70" s="19" t="s">
        <v>117</v>
      </c>
      <c r="C70" s="41">
        <f>O26</f>
        <v>8.792101182541584E-2</v>
      </c>
      <c r="F70" s="32"/>
      <c r="G70" s="40"/>
    </row>
    <row r="71" spans="2:7" s="19" customFormat="1" ht="15">
      <c r="B71" s="19" t="s">
        <v>147</v>
      </c>
      <c r="C71" s="39">
        <f>J62*(1+C69)</f>
        <v>731.87052615907317</v>
      </c>
      <c r="F71" s="32"/>
      <c r="G71" s="39"/>
    </row>
    <row r="72" spans="2:7" s="19" customFormat="1" ht="15">
      <c r="B72" s="19" t="s">
        <v>144</v>
      </c>
      <c r="C72" s="39">
        <f>C71/(C70-C69)</f>
        <v>11631.575922360595</v>
      </c>
      <c r="F72" s="32"/>
      <c r="G72" s="39"/>
    </row>
    <row r="73" spans="2:7" s="19" customFormat="1" ht="15">
      <c r="B73" s="20" t="s">
        <v>148</v>
      </c>
      <c r="C73" s="38">
        <f>C72/(1+J63)^J50</f>
        <v>7632.2350407607228</v>
      </c>
      <c r="F73" s="32"/>
      <c r="G73" s="34"/>
    </row>
    <row r="74" spans="2:7" s="19" customFormat="1" ht="15">
      <c r="C74" s="18"/>
    </row>
    <row r="75" spans="2:7" s="19" customFormat="1" ht="15">
      <c r="C75" s="18"/>
    </row>
    <row r="76" spans="2:7" s="19" customFormat="1" ht="18.75">
      <c r="B76" s="86" t="s">
        <v>149</v>
      </c>
      <c r="C76" s="86"/>
      <c r="D76" s="86"/>
    </row>
    <row r="77" spans="2:7" s="19" customFormat="1" ht="15">
      <c r="B77" s="19" t="s">
        <v>150</v>
      </c>
      <c r="C77" s="34"/>
      <c r="D77" s="36">
        <f>C73+C65</f>
        <v>11957.946956175289</v>
      </c>
    </row>
    <row r="78" spans="2:7" s="19" customFormat="1" ht="15">
      <c r="B78" s="19" t="s">
        <v>151</v>
      </c>
      <c r="C78" s="31"/>
      <c r="D78" s="35">
        <f>E35-E28</f>
        <v>7061</v>
      </c>
      <c r="E78" s="32"/>
      <c r="F78" s="34"/>
    </row>
    <row r="79" spans="2:7" s="19" customFormat="1" ht="15">
      <c r="B79" s="20" t="s">
        <v>35</v>
      </c>
      <c r="D79" s="36">
        <f>(D77-D78)*1000000</f>
        <v>4896946956.1752882</v>
      </c>
      <c r="E79" s="32"/>
      <c r="F79" s="31"/>
    </row>
    <row r="80" spans="2:7" s="19" customFormat="1" ht="15">
      <c r="B80" s="19" t="s">
        <v>90</v>
      </c>
      <c r="D80" s="30">
        <f>D5</f>
        <v>282000000</v>
      </c>
      <c r="E80" s="22"/>
      <c r="F80" s="30"/>
    </row>
    <row r="81" spans="2:6" s="19" customFormat="1" ht="15">
      <c r="B81" s="28" t="s">
        <v>152</v>
      </c>
      <c r="C81" s="27"/>
      <c r="D81" s="26">
        <f>D79/D80</f>
        <v>17.365060128281165</v>
      </c>
      <c r="E81" s="25"/>
      <c r="F81" s="24"/>
    </row>
    <row r="82" spans="2:6" s="19" customFormat="1" ht="15">
      <c r="D82" s="23"/>
      <c r="E82" s="22"/>
      <c r="F82" s="21"/>
    </row>
    <row r="83" spans="2:6" s="18" customFormat="1" ht="15">
      <c r="B83" s="20"/>
      <c r="E83" s="255"/>
    </row>
    <row r="84" spans="2:6" s="18" customFormat="1" ht="15">
      <c r="B84" s="19"/>
      <c r="E84" s="255"/>
    </row>
  </sheetData>
  <sheetProtection selectLockedCells="1" selectUnlockedCells="1"/>
  <mergeCells count="5">
    <mergeCell ref="F9:J9"/>
    <mergeCell ref="F25:J25"/>
    <mergeCell ref="F48:J48"/>
    <mergeCell ref="N8:O8"/>
    <mergeCell ref="B1:O1"/>
  </mergeCells>
  <pageMargins left="0.7" right="0.7" top="0.75" bottom="0.75" header="0.3" footer="0.3"/>
  <pageSetup orientation="portrait" horizontalDpi="4294967294"/>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427FA-AC01-4DA2-8F2F-3C02584BBE9F}">
  <sheetPr>
    <tabColor theme="8" tint="-0.249977111117893"/>
  </sheetPr>
  <dimension ref="B2:O66"/>
  <sheetViews>
    <sheetView showGridLines="0" zoomScale="60" zoomScaleNormal="60" workbookViewId="0">
      <selection activeCell="Q8" sqref="Q8"/>
    </sheetView>
  </sheetViews>
  <sheetFormatPr defaultRowHeight="14.45"/>
  <cols>
    <col min="2" max="2" width="23.5703125" bestFit="1" customWidth="1"/>
    <col min="3" max="3" width="15.85546875" bestFit="1" customWidth="1"/>
    <col min="4" max="4" width="12.42578125" bestFit="1" customWidth="1"/>
    <col min="5" max="5" width="15.7109375" customWidth="1"/>
    <col min="14" max="14" width="11.42578125" customWidth="1"/>
    <col min="15" max="15" width="24.42578125" customWidth="1"/>
  </cols>
  <sheetData>
    <row r="2" spans="2:15">
      <c r="B2" s="335" t="s">
        <v>155</v>
      </c>
      <c r="C2" s="335"/>
      <c r="D2" s="335"/>
      <c r="E2" s="335"/>
      <c r="F2" s="335"/>
      <c r="G2" s="335"/>
      <c r="H2" s="335"/>
      <c r="I2" s="335"/>
      <c r="J2" s="335"/>
      <c r="K2" s="335"/>
      <c r="L2" s="335"/>
      <c r="M2" s="335"/>
      <c r="N2" s="335"/>
      <c r="O2" s="335"/>
    </row>
    <row r="3" spans="2:15">
      <c r="B3" s="335"/>
      <c r="C3" s="335"/>
      <c r="D3" s="335"/>
      <c r="E3" s="335"/>
      <c r="F3" s="335"/>
      <c r="G3" s="335"/>
      <c r="H3" s="335"/>
      <c r="I3" s="335"/>
      <c r="J3" s="335"/>
      <c r="K3" s="335"/>
      <c r="L3" s="335"/>
      <c r="M3" s="335"/>
      <c r="N3" s="335"/>
      <c r="O3" s="335"/>
    </row>
    <row r="4" spans="2:15" ht="23.45">
      <c r="B4" s="240"/>
      <c r="C4" s="240"/>
      <c r="D4" s="240"/>
      <c r="E4" s="240"/>
      <c r="F4" s="240"/>
      <c r="G4" s="240"/>
      <c r="H4" s="240"/>
      <c r="I4" s="240"/>
      <c r="J4" s="240"/>
      <c r="K4" s="240"/>
      <c r="L4" s="240"/>
      <c r="M4" s="240"/>
      <c r="N4" s="240"/>
      <c r="O4" s="240"/>
    </row>
    <row r="5" spans="2:15">
      <c r="B5" s="175" t="s">
        <v>156</v>
      </c>
      <c r="C5" s="175"/>
      <c r="D5" s="175"/>
      <c r="E5" s="175"/>
      <c r="F5" s="175"/>
      <c r="G5" s="175"/>
      <c r="H5" s="175"/>
      <c r="I5" s="175"/>
      <c r="J5" s="175"/>
      <c r="K5" s="175"/>
      <c r="L5" s="175"/>
      <c r="M5" s="175"/>
      <c r="N5" s="175"/>
      <c r="O5" s="175"/>
    </row>
    <row r="6" spans="2:15">
      <c r="B6" t="s">
        <v>60</v>
      </c>
    </row>
    <row r="8" spans="2:15">
      <c r="B8" t="s">
        <v>157</v>
      </c>
    </row>
    <row r="9" spans="2:15">
      <c r="B9" t="s">
        <v>158</v>
      </c>
    </row>
    <row r="10" spans="2:15">
      <c r="B10" t="s">
        <v>159</v>
      </c>
    </row>
    <row r="11" spans="2:15">
      <c r="B11" t="s">
        <v>160</v>
      </c>
    </row>
    <row r="13" spans="2:15">
      <c r="B13" s="241" t="s">
        <v>161</v>
      </c>
      <c r="C13" s="241"/>
      <c r="D13" s="241"/>
      <c r="E13" s="241"/>
      <c r="F13" s="241"/>
      <c r="G13" s="241"/>
      <c r="H13" s="241"/>
      <c r="I13" s="241"/>
      <c r="J13" s="241"/>
      <c r="K13" s="241"/>
      <c r="L13" s="241"/>
      <c r="M13" s="241"/>
      <c r="N13" s="241"/>
      <c r="O13" s="241"/>
    </row>
    <row r="15" spans="2:15">
      <c r="B15" s="175" t="s">
        <v>162</v>
      </c>
      <c r="C15" s="175"/>
      <c r="D15" s="175"/>
      <c r="E15" s="175"/>
      <c r="F15" s="175"/>
      <c r="G15" s="175"/>
      <c r="H15" s="175"/>
      <c r="I15" s="175"/>
      <c r="J15" s="175"/>
      <c r="K15" s="175"/>
      <c r="L15" s="175"/>
      <c r="M15" s="175"/>
      <c r="N15" s="175"/>
      <c r="O15" s="175"/>
    </row>
    <row r="16" spans="2:15" ht="14.45" customHeight="1">
      <c r="B16" s="336" t="s">
        <v>163</v>
      </c>
      <c r="C16" s="336"/>
      <c r="D16" s="336"/>
      <c r="E16" s="336"/>
      <c r="F16" s="336"/>
      <c r="G16" s="336"/>
      <c r="H16" s="336"/>
      <c r="I16" s="336"/>
      <c r="J16" s="336"/>
      <c r="K16" s="336"/>
      <c r="L16" s="336"/>
      <c r="M16" s="336"/>
      <c r="N16" s="336"/>
      <c r="O16" s="336"/>
    </row>
    <row r="17" spans="2:15">
      <c r="B17" s="336"/>
      <c r="C17" s="336"/>
      <c r="D17" s="336"/>
      <c r="E17" s="336"/>
      <c r="F17" s="336"/>
      <c r="G17" s="336"/>
      <c r="H17" s="336"/>
      <c r="I17" s="336"/>
      <c r="J17" s="336"/>
      <c r="K17" s="336"/>
      <c r="L17" s="336"/>
      <c r="M17" s="336"/>
      <c r="N17" s="336"/>
      <c r="O17" s="336"/>
    </row>
    <row r="18" spans="2:15">
      <c r="B18" s="336"/>
      <c r="C18" s="336"/>
      <c r="D18" s="336"/>
      <c r="E18" s="336"/>
      <c r="F18" s="336"/>
      <c r="G18" s="336"/>
      <c r="H18" s="336"/>
      <c r="I18" s="336"/>
      <c r="J18" s="336"/>
      <c r="K18" s="336"/>
      <c r="L18" s="336"/>
      <c r="M18" s="336"/>
      <c r="N18" s="336"/>
      <c r="O18" s="336"/>
    </row>
    <row r="20" spans="2:15">
      <c r="B20" s="175" t="s">
        <v>164</v>
      </c>
      <c r="C20" s="175"/>
      <c r="D20" s="175"/>
      <c r="E20" s="175"/>
      <c r="F20" s="175"/>
      <c r="G20" s="175"/>
      <c r="H20" s="175"/>
      <c r="I20" s="175"/>
      <c r="J20" s="175"/>
      <c r="K20" s="175"/>
      <c r="L20" s="175"/>
      <c r="M20" s="175"/>
      <c r="N20" s="175"/>
      <c r="O20" s="175"/>
    </row>
    <row r="21" spans="2:15" ht="14.45" customHeight="1">
      <c r="B21" s="336" t="s">
        <v>165</v>
      </c>
      <c r="C21" s="336"/>
      <c r="D21" s="336"/>
      <c r="E21" s="336"/>
      <c r="F21" s="336"/>
      <c r="G21" s="336"/>
      <c r="H21" s="336"/>
      <c r="I21" s="336"/>
      <c r="J21" s="336"/>
      <c r="K21" s="336"/>
      <c r="L21" s="336"/>
      <c r="M21" s="336"/>
      <c r="N21" s="336"/>
      <c r="O21" s="336"/>
    </row>
    <row r="22" spans="2:15">
      <c r="B22" s="336"/>
      <c r="C22" s="336"/>
      <c r="D22" s="336"/>
      <c r="E22" s="336"/>
      <c r="F22" s="336"/>
      <c r="G22" s="336"/>
      <c r="H22" s="336"/>
      <c r="I22" s="336"/>
      <c r="J22" s="336"/>
      <c r="K22" s="336"/>
      <c r="L22" s="336"/>
      <c r="M22" s="336"/>
      <c r="N22" s="336"/>
      <c r="O22" s="336"/>
    </row>
    <row r="23" spans="2:15">
      <c r="B23" s="336"/>
      <c r="C23" s="336"/>
      <c r="D23" s="336"/>
      <c r="E23" s="336"/>
      <c r="F23" s="336"/>
      <c r="G23" s="336"/>
      <c r="H23" s="336"/>
      <c r="I23" s="336"/>
      <c r="J23" s="336"/>
      <c r="K23" s="336"/>
      <c r="L23" s="336"/>
      <c r="M23" s="336"/>
      <c r="N23" s="336"/>
      <c r="O23" s="336"/>
    </row>
    <row r="24" spans="2:15">
      <c r="B24" s="336"/>
      <c r="C24" s="336"/>
      <c r="D24" s="336"/>
      <c r="E24" s="336"/>
      <c r="F24" s="336"/>
      <c r="G24" s="336"/>
      <c r="H24" s="336"/>
      <c r="I24" s="336"/>
      <c r="J24" s="336"/>
      <c r="K24" s="336"/>
      <c r="L24" s="336"/>
      <c r="M24" s="336"/>
      <c r="N24" s="336"/>
      <c r="O24" s="336"/>
    </row>
    <row r="25" spans="2:15">
      <c r="B25" s="336"/>
      <c r="C25" s="336"/>
      <c r="D25" s="336"/>
      <c r="E25" s="336"/>
      <c r="F25" s="336"/>
      <c r="G25" s="336"/>
      <c r="H25" s="336"/>
      <c r="I25" s="336"/>
      <c r="J25" s="336"/>
      <c r="K25" s="336"/>
      <c r="L25" s="336"/>
      <c r="M25" s="336"/>
      <c r="N25" s="336"/>
      <c r="O25" s="336"/>
    </row>
    <row r="26" spans="2:15">
      <c r="B26" s="238"/>
      <c r="C26" s="238"/>
      <c r="D26" s="238"/>
      <c r="E26" s="238"/>
      <c r="F26" s="238"/>
      <c r="G26" s="238"/>
      <c r="H26" s="238"/>
      <c r="I26" s="238"/>
      <c r="J26" s="238"/>
      <c r="K26" s="238"/>
      <c r="L26" s="238"/>
      <c r="M26" s="238"/>
      <c r="N26" s="238"/>
      <c r="O26" s="238"/>
    </row>
    <row r="27" spans="2:15">
      <c r="B27" s="228" t="s">
        <v>166</v>
      </c>
      <c r="C27" s="229" t="s">
        <v>167</v>
      </c>
      <c r="D27" s="230"/>
      <c r="E27" s="230"/>
      <c r="F27" s="230"/>
      <c r="G27" s="230"/>
      <c r="H27" s="230"/>
      <c r="I27" s="230"/>
      <c r="J27" s="230"/>
      <c r="K27" s="230"/>
      <c r="L27" s="230"/>
      <c r="M27" s="230"/>
      <c r="N27" s="230"/>
      <c r="O27" s="231"/>
    </row>
    <row r="28" spans="2:15">
      <c r="B28" s="101" t="s">
        <v>168</v>
      </c>
      <c r="C28" t="s">
        <v>169</v>
      </c>
      <c r="O28" s="4"/>
    </row>
    <row r="29" spans="2:15">
      <c r="B29" s="101" t="s">
        <v>170</v>
      </c>
      <c r="C29" t="s">
        <v>171</v>
      </c>
      <c r="O29" s="4"/>
    </row>
    <row r="30" spans="2:15">
      <c r="B30" s="101" t="s">
        <v>172</v>
      </c>
      <c r="C30" t="s">
        <v>173</v>
      </c>
      <c r="O30" s="4"/>
    </row>
    <row r="31" spans="2:15">
      <c r="B31" s="101" t="s">
        <v>174</v>
      </c>
      <c r="C31" t="s">
        <v>175</v>
      </c>
      <c r="O31" s="4"/>
    </row>
    <row r="32" spans="2:15">
      <c r="B32" s="101" t="s">
        <v>176</v>
      </c>
      <c r="C32" t="s">
        <v>177</v>
      </c>
      <c r="O32" s="4"/>
    </row>
    <row r="33" spans="2:15">
      <c r="B33" s="102"/>
      <c r="C33" s="99"/>
      <c r="D33" s="99"/>
      <c r="E33" s="99"/>
      <c r="F33" s="99"/>
      <c r="G33" s="99"/>
      <c r="H33" s="99"/>
      <c r="I33" s="99"/>
      <c r="J33" s="99"/>
      <c r="K33" s="99"/>
      <c r="L33" s="99"/>
      <c r="M33" s="99"/>
      <c r="N33" s="99"/>
      <c r="O33" s="100"/>
    </row>
    <row r="35" spans="2:15">
      <c r="B35" s="228" t="s">
        <v>178</v>
      </c>
      <c r="C35" s="230"/>
      <c r="D35" s="230"/>
      <c r="E35" s="231"/>
    </row>
    <row r="36" spans="2:15">
      <c r="B36" s="101" t="s">
        <v>179</v>
      </c>
      <c r="C36" t="s">
        <v>180</v>
      </c>
      <c r="D36" t="s">
        <v>181</v>
      </c>
      <c r="E36" s="4"/>
    </row>
    <row r="37" spans="2:15">
      <c r="B37" s="101" t="s">
        <v>182</v>
      </c>
      <c r="C37" t="s">
        <v>183</v>
      </c>
      <c r="D37" t="s">
        <v>184</v>
      </c>
      <c r="E37" s="4" t="s">
        <v>185</v>
      </c>
    </row>
    <row r="38" spans="2:15">
      <c r="B38" s="101" t="s">
        <v>186</v>
      </c>
      <c r="C38" t="s">
        <v>187</v>
      </c>
      <c r="E38" s="4"/>
    </row>
    <row r="39" spans="2:15">
      <c r="B39" s="101" t="s">
        <v>188</v>
      </c>
      <c r="C39" t="s">
        <v>189</v>
      </c>
      <c r="D39" t="s">
        <v>190</v>
      </c>
      <c r="E39" s="4"/>
    </row>
    <row r="40" spans="2:15">
      <c r="B40" s="101" t="s">
        <v>191</v>
      </c>
      <c r="C40" t="s">
        <v>192</v>
      </c>
      <c r="E40" s="4"/>
    </row>
    <row r="41" spans="2:15">
      <c r="B41" s="102" t="s">
        <v>193</v>
      </c>
      <c r="C41" s="99" t="s">
        <v>194</v>
      </c>
      <c r="D41" s="99"/>
      <c r="E41" s="100"/>
    </row>
    <row r="43" spans="2:15">
      <c r="B43" s="175" t="s">
        <v>195</v>
      </c>
      <c r="C43" s="175"/>
      <c r="D43" s="175"/>
      <c r="E43" s="175"/>
      <c r="F43" s="175"/>
      <c r="G43" s="175"/>
      <c r="H43" s="175"/>
      <c r="I43" s="175"/>
      <c r="J43" s="175"/>
      <c r="K43" s="175"/>
      <c r="L43" s="175"/>
      <c r="M43" s="175"/>
      <c r="N43" s="175"/>
      <c r="O43" s="175"/>
    </row>
    <row r="44" spans="2:15" ht="14.45" customHeight="1">
      <c r="B44" s="336" t="s">
        <v>196</v>
      </c>
      <c r="C44" s="336"/>
      <c r="D44" s="336"/>
      <c r="E44" s="336"/>
      <c r="F44" s="336"/>
      <c r="G44" s="336"/>
      <c r="H44" s="336"/>
      <c r="I44" s="336"/>
      <c r="J44" s="336"/>
      <c r="K44" s="336"/>
      <c r="L44" s="336"/>
      <c r="M44" s="336"/>
      <c r="N44" s="336"/>
      <c r="O44" s="336"/>
    </row>
    <row r="45" spans="2:15">
      <c r="B45" s="336"/>
      <c r="C45" s="336"/>
      <c r="D45" s="336"/>
      <c r="E45" s="336"/>
      <c r="F45" s="336"/>
      <c r="G45" s="336"/>
      <c r="H45" s="336"/>
      <c r="I45" s="336"/>
      <c r="J45" s="336"/>
      <c r="K45" s="336"/>
      <c r="L45" s="336"/>
      <c r="M45" s="336"/>
      <c r="N45" s="336"/>
      <c r="O45" s="336"/>
    </row>
    <row r="47" spans="2:15">
      <c r="B47" s="241" t="s">
        <v>54</v>
      </c>
      <c r="C47" s="241"/>
      <c r="D47" s="241"/>
      <c r="E47" s="241"/>
      <c r="F47" s="241"/>
      <c r="G47" s="241"/>
      <c r="H47" s="241"/>
      <c r="I47" s="241"/>
      <c r="J47" s="241"/>
      <c r="K47" s="241"/>
      <c r="L47" s="241"/>
      <c r="M47" s="241"/>
      <c r="N47" s="241"/>
      <c r="O47" s="241"/>
    </row>
    <row r="49" spans="2:15">
      <c r="B49" s="175" t="s">
        <v>162</v>
      </c>
      <c r="C49" s="175"/>
      <c r="D49" s="175"/>
      <c r="E49" s="175"/>
      <c r="F49" s="175"/>
      <c r="G49" s="175"/>
      <c r="H49" s="175"/>
      <c r="I49" s="175"/>
      <c r="J49" s="175"/>
      <c r="K49" s="175"/>
      <c r="L49" s="175"/>
      <c r="M49" s="175"/>
      <c r="N49" s="175"/>
      <c r="O49" s="175"/>
    </row>
    <row r="50" spans="2:15" ht="14.45" customHeight="1">
      <c r="B50" s="336" t="s">
        <v>197</v>
      </c>
      <c r="C50" s="336"/>
      <c r="D50" s="336"/>
      <c r="E50" s="336"/>
      <c r="F50" s="336"/>
      <c r="G50" s="336"/>
      <c r="H50" s="336"/>
      <c r="I50" s="336"/>
      <c r="J50" s="336"/>
      <c r="K50" s="336"/>
      <c r="L50" s="336"/>
      <c r="M50" s="336"/>
      <c r="N50" s="336"/>
      <c r="O50" s="336"/>
    </row>
    <row r="51" spans="2:15">
      <c r="B51" s="336"/>
      <c r="C51" s="336"/>
      <c r="D51" s="336"/>
      <c r="E51" s="336"/>
      <c r="F51" s="336"/>
      <c r="G51" s="336"/>
      <c r="H51" s="336"/>
      <c r="I51" s="336"/>
      <c r="J51" s="336"/>
      <c r="K51" s="336"/>
      <c r="L51" s="336"/>
      <c r="M51" s="336"/>
      <c r="N51" s="336"/>
      <c r="O51" s="336"/>
    </row>
    <row r="52" spans="2:15">
      <c r="B52" s="336"/>
      <c r="C52" s="336"/>
      <c r="D52" s="336"/>
      <c r="E52" s="336"/>
      <c r="F52" s="336"/>
      <c r="G52" s="336"/>
      <c r="H52" s="336"/>
      <c r="I52" s="336"/>
      <c r="J52" s="336"/>
      <c r="K52" s="336"/>
      <c r="L52" s="336"/>
      <c r="M52" s="336"/>
      <c r="N52" s="336"/>
      <c r="O52" s="336"/>
    </row>
    <row r="53" spans="2:15">
      <c r="B53" s="336"/>
      <c r="C53" s="336"/>
      <c r="D53" s="336"/>
      <c r="E53" s="336"/>
      <c r="F53" s="336"/>
      <c r="G53" s="336"/>
      <c r="H53" s="336"/>
      <c r="I53" s="336"/>
      <c r="J53" s="336"/>
      <c r="K53" s="336"/>
      <c r="L53" s="336"/>
      <c r="M53" s="336"/>
      <c r="N53" s="336"/>
      <c r="O53" s="336"/>
    </row>
    <row r="54" spans="2:15">
      <c r="B54" s="336"/>
      <c r="C54" s="336"/>
      <c r="D54" s="336"/>
      <c r="E54" s="336"/>
      <c r="F54" s="336"/>
      <c r="G54" s="336"/>
      <c r="H54" s="336"/>
      <c r="I54" s="336"/>
      <c r="J54" s="336"/>
      <c r="K54" s="336"/>
      <c r="L54" s="336"/>
      <c r="M54" s="336"/>
      <c r="N54" s="336"/>
      <c r="O54" s="336"/>
    </row>
    <row r="55" spans="2:15">
      <c r="B55" s="336"/>
      <c r="C55" s="336"/>
      <c r="D55" s="336"/>
      <c r="E55" s="336"/>
      <c r="F55" s="336"/>
      <c r="G55" s="336"/>
      <c r="H55" s="336"/>
      <c r="I55" s="336"/>
      <c r="J55" s="336"/>
      <c r="K55" s="336"/>
      <c r="L55" s="336"/>
      <c r="M55" s="336"/>
      <c r="N55" s="336"/>
      <c r="O55" s="336"/>
    </row>
    <row r="57" spans="2:15">
      <c r="B57" s="175" t="s">
        <v>164</v>
      </c>
      <c r="C57" s="175"/>
      <c r="D57" s="175"/>
      <c r="E57" s="175"/>
      <c r="F57" s="175"/>
      <c r="G57" s="175"/>
      <c r="H57" s="175"/>
      <c r="I57" s="175"/>
      <c r="J57" s="175"/>
      <c r="K57" s="175"/>
      <c r="L57" s="175"/>
      <c r="M57" s="175"/>
      <c r="N57" s="175"/>
      <c r="O57" s="175"/>
    </row>
    <row r="58" spans="2:15" ht="14.45" customHeight="1">
      <c r="B58" s="336" t="s">
        <v>198</v>
      </c>
      <c r="C58" s="336"/>
      <c r="D58" s="336"/>
      <c r="E58" s="336"/>
      <c r="F58" s="336"/>
      <c r="G58" s="336"/>
      <c r="H58" s="336"/>
      <c r="I58" s="336"/>
      <c r="J58" s="336"/>
      <c r="K58" s="336"/>
      <c r="L58" s="336"/>
      <c r="M58" s="336"/>
      <c r="N58" s="336"/>
      <c r="O58" s="336"/>
    </row>
    <row r="59" spans="2:15">
      <c r="B59" s="336"/>
      <c r="C59" s="336"/>
      <c r="D59" s="336"/>
      <c r="E59" s="336"/>
      <c r="F59" s="336"/>
      <c r="G59" s="336"/>
      <c r="H59" s="336"/>
      <c r="I59" s="336"/>
      <c r="J59" s="336"/>
      <c r="K59" s="336"/>
      <c r="L59" s="336"/>
      <c r="M59" s="336"/>
      <c r="N59" s="336"/>
      <c r="O59" s="336"/>
    </row>
    <row r="60" spans="2:15">
      <c r="B60" s="336"/>
      <c r="C60" s="336"/>
      <c r="D60" s="336"/>
      <c r="E60" s="336"/>
      <c r="F60" s="336"/>
      <c r="G60" s="336"/>
      <c r="H60" s="336"/>
      <c r="I60" s="336"/>
      <c r="J60" s="336"/>
      <c r="K60" s="336"/>
      <c r="L60" s="336"/>
      <c r="M60" s="336"/>
      <c r="N60" s="336"/>
      <c r="O60" s="336"/>
    </row>
    <row r="61" spans="2:15">
      <c r="B61" s="336"/>
      <c r="C61" s="336"/>
      <c r="D61" s="336"/>
      <c r="E61" s="336"/>
      <c r="F61" s="336"/>
      <c r="G61" s="336"/>
      <c r="H61" s="336"/>
      <c r="I61" s="336"/>
      <c r="J61" s="336"/>
      <c r="K61" s="336"/>
      <c r="L61" s="336"/>
      <c r="M61" s="336"/>
      <c r="N61" s="336"/>
      <c r="O61" s="336"/>
    </row>
    <row r="62" spans="2:15">
      <c r="B62" s="336"/>
      <c r="C62" s="336"/>
      <c r="D62" s="336"/>
      <c r="E62" s="336"/>
      <c r="F62" s="336"/>
      <c r="G62" s="336"/>
      <c r="H62" s="336"/>
      <c r="I62" s="336"/>
      <c r="J62" s="336"/>
      <c r="K62" s="336"/>
      <c r="L62" s="336"/>
      <c r="M62" s="336"/>
      <c r="N62" s="336"/>
      <c r="O62" s="336"/>
    </row>
    <row r="63" spans="2:15">
      <c r="B63" s="336"/>
      <c r="C63" s="336"/>
      <c r="D63" s="336"/>
      <c r="E63" s="336"/>
      <c r="F63" s="336"/>
      <c r="G63" s="336"/>
      <c r="H63" s="336"/>
      <c r="I63" s="336"/>
      <c r="J63" s="336"/>
      <c r="K63" s="336"/>
      <c r="L63" s="336"/>
      <c r="M63" s="336"/>
      <c r="N63" s="336"/>
      <c r="O63" s="336"/>
    </row>
    <row r="64" spans="2:15">
      <c r="B64" s="336"/>
      <c r="C64" s="336"/>
      <c r="D64" s="336"/>
      <c r="E64" s="336"/>
      <c r="F64" s="336"/>
      <c r="G64" s="336"/>
      <c r="H64" s="336"/>
      <c r="I64" s="336"/>
      <c r="J64" s="336"/>
      <c r="K64" s="336"/>
      <c r="L64" s="336"/>
      <c r="M64" s="336"/>
      <c r="N64" s="336"/>
      <c r="O64" s="336"/>
    </row>
    <row r="66" spans="2:15">
      <c r="B66" s="175" t="s">
        <v>195</v>
      </c>
      <c r="C66" s="175"/>
      <c r="D66" s="175"/>
      <c r="E66" s="175"/>
      <c r="F66" s="175"/>
      <c r="G66" s="175"/>
      <c r="H66" s="175"/>
      <c r="I66" s="175"/>
      <c r="J66" s="175"/>
      <c r="K66" s="175"/>
      <c r="L66" s="175"/>
      <c r="M66" s="175"/>
      <c r="N66" s="175"/>
      <c r="O66" s="175"/>
    </row>
  </sheetData>
  <mergeCells count="6">
    <mergeCell ref="B2:O3"/>
    <mergeCell ref="B58:O64"/>
    <mergeCell ref="B50:O55"/>
    <mergeCell ref="B44:O45"/>
    <mergeCell ref="B21:O25"/>
    <mergeCell ref="B16:O1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649EB-1A0E-4C56-B627-18232F323067}">
  <sheetPr>
    <tabColor theme="8" tint="0.39997558519241921"/>
  </sheetPr>
  <dimension ref="B2:U58"/>
  <sheetViews>
    <sheetView showGridLines="0" zoomScale="50" zoomScaleNormal="50" workbookViewId="0">
      <selection activeCell="B57" sqref="B57"/>
    </sheetView>
  </sheetViews>
  <sheetFormatPr defaultRowHeight="14.45"/>
  <cols>
    <col min="1" max="1" width="11.42578125" bestFit="1" customWidth="1"/>
    <col min="2" max="2" width="37.85546875" bestFit="1" customWidth="1"/>
    <col min="3" max="3" width="14.140625" bestFit="1" customWidth="1"/>
    <col min="4" max="4" width="19.7109375" bestFit="1" customWidth="1"/>
    <col min="5" max="5" width="20.7109375" bestFit="1" customWidth="1"/>
    <col min="6" max="6" width="16.42578125" bestFit="1" customWidth="1"/>
    <col min="7" max="7" width="15.85546875" bestFit="1" customWidth="1"/>
    <col min="8" max="8" width="17" bestFit="1" customWidth="1"/>
    <col min="9" max="9" width="11" bestFit="1" customWidth="1"/>
    <col min="10" max="10" width="12.140625" bestFit="1" customWidth="1"/>
    <col min="11" max="11" width="9.42578125" bestFit="1" customWidth="1"/>
    <col min="12" max="12" width="21.28515625" bestFit="1" customWidth="1"/>
    <col min="13" max="13" width="23.7109375" bestFit="1" customWidth="1"/>
    <col min="14" max="14" width="30" bestFit="1" customWidth="1"/>
    <col min="15" max="15" width="51.5703125" customWidth="1"/>
  </cols>
  <sheetData>
    <row r="2" spans="2:21" ht="14.45" customHeight="1">
      <c r="B2" s="322" t="s">
        <v>199</v>
      </c>
      <c r="C2" s="322"/>
      <c r="D2" s="322"/>
      <c r="E2" s="322"/>
      <c r="F2" s="322"/>
      <c r="G2" s="322"/>
      <c r="H2" s="322"/>
      <c r="I2" s="322"/>
      <c r="J2" s="322"/>
      <c r="K2" s="322"/>
      <c r="L2" s="322"/>
      <c r="M2" s="322"/>
      <c r="N2" s="322"/>
      <c r="O2" s="322"/>
    </row>
    <row r="3" spans="2:21" ht="14.45" customHeight="1">
      <c r="B3" s="322"/>
      <c r="C3" s="322"/>
      <c r="D3" s="322"/>
      <c r="E3" s="322"/>
      <c r="F3" s="322"/>
      <c r="G3" s="322"/>
      <c r="H3" s="322"/>
      <c r="I3" s="322"/>
      <c r="J3" s="322"/>
      <c r="K3" s="322"/>
      <c r="L3" s="322"/>
      <c r="M3" s="322"/>
      <c r="N3" s="322"/>
      <c r="O3" s="322"/>
    </row>
    <row r="5" spans="2:21">
      <c r="B5" s="167"/>
      <c r="C5" s="343" t="s">
        <v>200</v>
      </c>
      <c r="D5" s="337"/>
      <c r="E5" s="337"/>
      <c r="F5" s="337"/>
      <c r="G5" s="337"/>
      <c r="H5" s="338"/>
      <c r="I5" s="343" t="s">
        <v>201</v>
      </c>
      <c r="J5" s="337"/>
      <c r="K5" s="338"/>
      <c r="L5" s="337" t="s">
        <v>202</v>
      </c>
      <c r="M5" s="337"/>
      <c r="N5" s="337"/>
      <c r="O5" s="338"/>
    </row>
    <row r="6" spans="2:21" ht="15.6">
      <c r="B6" s="128" t="s">
        <v>203</v>
      </c>
      <c r="C6" s="129" t="s">
        <v>204</v>
      </c>
      <c r="D6" s="129" t="s">
        <v>205</v>
      </c>
      <c r="E6" s="129" t="s">
        <v>206</v>
      </c>
      <c r="F6" s="129" t="s">
        <v>207</v>
      </c>
      <c r="G6" s="129" t="s">
        <v>208</v>
      </c>
      <c r="H6" s="130" t="s">
        <v>209</v>
      </c>
      <c r="I6" s="128" t="s">
        <v>210</v>
      </c>
      <c r="J6" s="129" t="s">
        <v>211</v>
      </c>
      <c r="K6" s="131" t="s">
        <v>168</v>
      </c>
      <c r="L6" s="129" t="s">
        <v>212</v>
      </c>
      <c r="M6" s="129" t="s">
        <v>213</v>
      </c>
      <c r="N6" s="129" t="s">
        <v>214</v>
      </c>
      <c r="O6" s="130" t="s">
        <v>215</v>
      </c>
    </row>
    <row r="7" spans="2:21" ht="15">
      <c r="B7" s="245" t="s">
        <v>216</v>
      </c>
      <c r="C7" s="132"/>
      <c r="D7" s="132"/>
      <c r="E7" s="132"/>
      <c r="F7" s="132"/>
      <c r="G7" s="132"/>
      <c r="H7" s="10"/>
      <c r="I7" s="133"/>
      <c r="J7" s="132"/>
      <c r="K7" s="10"/>
      <c r="L7" s="134"/>
      <c r="M7" s="134"/>
      <c r="N7" s="134"/>
      <c r="O7" s="10"/>
    </row>
    <row r="8" spans="2:21" ht="15">
      <c r="B8" s="135" t="s">
        <v>217</v>
      </c>
      <c r="C8" s="122">
        <v>18.41</v>
      </c>
      <c r="D8" s="289">
        <v>5.048</v>
      </c>
      <c r="E8" s="290">
        <v>9998</v>
      </c>
      <c r="F8" s="282">
        <v>23866</v>
      </c>
      <c r="G8" s="282">
        <v>2256</v>
      </c>
      <c r="H8" s="285">
        <v>105</v>
      </c>
      <c r="I8" s="125">
        <f>E8/F8</f>
        <v>0.4189223162658175</v>
      </c>
      <c r="J8" s="105">
        <f>E8/G8</f>
        <v>4.4317375886524824</v>
      </c>
      <c r="K8" s="126">
        <v>28.59</v>
      </c>
      <c r="L8" t="s">
        <v>218</v>
      </c>
      <c r="M8" t="s">
        <v>219</v>
      </c>
      <c r="N8" t="s">
        <v>220</v>
      </c>
      <c r="O8" s="4" t="s">
        <v>221</v>
      </c>
    </row>
    <row r="9" spans="2:21" ht="15">
      <c r="B9" s="3" t="s">
        <v>222</v>
      </c>
      <c r="C9" s="123"/>
      <c r="D9" s="279"/>
      <c r="E9" s="280"/>
      <c r="F9" s="283"/>
      <c r="G9" s="283"/>
      <c r="H9" s="286"/>
      <c r="I9" s="125"/>
      <c r="J9" s="105"/>
      <c r="K9" s="127"/>
      <c r="O9" s="4"/>
    </row>
    <row r="10" spans="2:21" ht="15">
      <c r="B10" s="135" t="s">
        <v>223</v>
      </c>
      <c r="C10" s="124">
        <v>21.32</v>
      </c>
      <c r="D10" s="291">
        <v>3.4609999999999999</v>
      </c>
      <c r="E10" s="281">
        <v>7582</v>
      </c>
      <c r="F10" s="281">
        <v>14592</v>
      </c>
      <c r="G10" s="281">
        <v>1079</v>
      </c>
      <c r="H10" s="287">
        <v>119</v>
      </c>
      <c r="I10" s="125">
        <f>E10/F10</f>
        <v>0.51959978070175439</v>
      </c>
      <c r="J10" s="105">
        <f>E10/G10</f>
        <v>7.0268767377201113</v>
      </c>
      <c r="K10" s="126">
        <v>23.84</v>
      </c>
      <c r="L10" t="s">
        <v>218</v>
      </c>
      <c r="M10" t="s">
        <v>219</v>
      </c>
      <c r="N10" t="s">
        <v>220</v>
      </c>
      <c r="O10" s="4" t="s">
        <v>224</v>
      </c>
      <c r="R10" s="107"/>
      <c r="S10" s="108"/>
      <c r="T10" s="108"/>
      <c r="U10" s="107"/>
    </row>
    <row r="11" spans="2:21">
      <c r="B11" s="135" t="s">
        <v>225</v>
      </c>
      <c r="C11" s="124">
        <v>28.04</v>
      </c>
      <c r="D11" s="291">
        <v>3.1040000000000001</v>
      </c>
      <c r="E11" s="281">
        <v>10960</v>
      </c>
      <c r="F11" s="281">
        <v>17539</v>
      </c>
      <c r="G11" s="281">
        <v>900</v>
      </c>
      <c r="H11" s="287">
        <v>-142</v>
      </c>
      <c r="I11" s="125">
        <f>E11/F11</f>
        <v>0.62489309538742233</v>
      </c>
      <c r="J11" s="105">
        <f>E11/G11</f>
        <v>12.177777777777777</v>
      </c>
      <c r="K11" s="126">
        <v>8.77</v>
      </c>
      <c r="L11" t="s">
        <v>218</v>
      </c>
      <c r="M11" t="s">
        <v>219</v>
      </c>
      <c r="N11" t="s">
        <v>220</v>
      </c>
      <c r="O11" s="4" t="s">
        <v>226</v>
      </c>
      <c r="S11" s="2"/>
      <c r="T11" s="2"/>
      <c r="U11" s="107"/>
    </row>
    <row r="12" spans="2:21" ht="15">
      <c r="B12" s="293" t="s">
        <v>227</v>
      </c>
      <c r="C12" s="294">
        <v>145.35</v>
      </c>
      <c r="D12" s="295">
        <v>4.9318</v>
      </c>
      <c r="E12" s="296">
        <v>50193</v>
      </c>
      <c r="F12" s="296">
        <v>20376</v>
      </c>
      <c r="G12" s="296">
        <v>2727</v>
      </c>
      <c r="H12" s="297">
        <v>1874</v>
      </c>
      <c r="I12" s="298">
        <f>E12/F12</f>
        <v>2.4633392226148412</v>
      </c>
      <c r="J12" s="299">
        <f>E12/G12</f>
        <v>18.405940594059405</v>
      </c>
      <c r="K12" s="300">
        <v>36.76</v>
      </c>
      <c r="L12" s="301" t="s">
        <v>218</v>
      </c>
      <c r="M12" t="s">
        <v>219</v>
      </c>
      <c r="N12" t="s">
        <v>220</v>
      </c>
      <c r="O12" s="4" t="s">
        <v>228</v>
      </c>
      <c r="S12" s="2"/>
      <c r="T12" s="2"/>
      <c r="U12" s="107"/>
    </row>
    <row r="13" spans="2:21" ht="15">
      <c r="B13" s="135" t="s">
        <v>229</v>
      </c>
      <c r="C13" s="124">
        <v>417.41</v>
      </c>
      <c r="D13" s="291">
        <v>6.7619999999999996</v>
      </c>
      <c r="E13" s="281">
        <v>6370</v>
      </c>
      <c r="F13" s="281">
        <v>6874</v>
      </c>
      <c r="G13" s="281">
        <v>1104</v>
      </c>
      <c r="H13" s="287">
        <v>738.8</v>
      </c>
      <c r="I13" s="125">
        <v>1.5670444733911304</v>
      </c>
      <c r="J13" s="105">
        <f>E13/G13</f>
        <v>5.7699275362318838</v>
      </c>
      <c r="K13" s="126">
        <v>20.04</v>
      </c>
      <c r="L13" t="s">
        <v>218</v>
      </c>
      <c r="M13" t="s">
        <v>219</v>
      </c>
      <c r="N13" t="s">
        <v>220</v>
      </c>
      <c r="O13" s="4" t="s">
        <v>230</v>
      </c>
      <c r="R13" s="107"/>
      <c r="S13" s="2"/>
      <c r="T13" s="2"/>
      <c r="U13" s="107"/>
    </row>
    <row r="14" spans="2:21" ht="15">
      <c r="B14" s="247" t="s">
        <v>216</v>
      </c>
      <c r="C14" s="137">
        <v>151.44</v>
      </c>
      <c r="D14" s="292">
        <v>69.914000000000001</v>
      </c>
      <c r="E14" s="284">
        <v>87547</v>
      </c>
      <c r="F14" s="284">
        <v>106888</v>
      </c>
      <c r="G14" s="284">
        <v>7956</v>
      </c>
      <c r="H14" s="288">
        <v>3632</v>
      </c>
      <c r="I14" s="138">
        <v>0.79297316622883085</v>
      </c>
      <c r="J14" s="139">
        <f>E14/G14</f>
        <v>11.003896430367019</v>
      </c>
      <c r="K14" s="140">
        <v>31.15</v>
      </c>
      <c r="L14" s="276" t="s">
        <v>218</v>
      </c>
      <c r="M14" s="276" t="s">
        <v>219</v>
      </c>
      <c r="N14" s="276" t="s">
        <v>220</v>
      </c>
      <c r="O14" s="100" t="s">
        <v>231</v>
      </c>
      <c r="S14" s="2"/>
      <c r="T14" s="2"/>
      <c r="U14" s="107"/>
    </row>
    <row r="15" spans="2:21" ht="15">
      <c r="B15" s="103"/>
      <c r="C15" s="120"/>
      <c r="D15" s="106"/>
      <c r="E15" s="106"/>
      <c r="F15" s="106"/>
      <c r="G15" s="106"/>
      <c r="I15" s="105"/>
      <c r="J15" s="105"/>
      <c r="R15" s="107"/>
      <c r="S15" s="109"/>
      <c r="T15" s="110"/>
      <c r="U15" s="107"/>
    </row>
    <row r="16" spans="2:21">
      <c r="B16" s="103"/>
      <c r="C16" s="120"/>
      <c r="D16" s="106"/>
      <c r="E16" s="106"/>
      <c r="F16" s="106"/>
      <c r="G16" s="106"/>
      <c r="I16" s="105"/>
      <c r="J16" s="105"/>
      <c r="R16" s="107"/>
      <c r="S16" s="107"/>
      <c r="T16" s="108"/>
      <c r="U16" s="107"/>
    </row>
    <row r="18" spans="2:14">
      <c r="B18" s="141" t="s">
        <v>232</v>
      </c>
      <c r="C18" s="142"/>
      <c r="D18" s="142"/>
      <c r="E18" s="142"/>
      <c r="F18" s="142"/>
      <c r="G18" s="142"/>
      <c r="H18" s="142"/>
      <c r="I18" s="143">
        <f>AVERAGE(I10:I14)</f>
        <v>1.1935699476647958</v>
      </c>
      <c r="J18" s="143">
        <f t="shared" ref="J18" si="0">AVERAGE(J10:J14)</f>
        <v>10.87688381523124</v>
      </c>
      <c r="K18" s="144">
        <f>AVERAGE(K10:K14)</f>
        <v>24.112000000000002</v>
      </c>
    </row>
    <row r="19" spans="2:14">
      <c r="B19" s="145" t="s">
        <v>233</v>
      </c>
      <c r="C19" s="146"/>
      <c r="D19" s="146"/>
      <c r="E19" s="146"/>
      <c r="F19" s="146"/>
      <c r="G19" s="146"/>
      <c r="H19" s="146"/>
      <c r="I19" s="147">
        <f>MEDIAN(I10:I14)</f>
        <v>0.79297316622883085</v>
      </c>
      <c r="J19" s="147">
        <f t="shared" ref="J19:K19" si="1">MEDIAN(J10:J14)</f>
        <v>11.003896430367019</v>
      </c>
      <c r="K19" s="212">
        <f t="shared" si="1"/>
        <v>23.84</v>
      </c>
    </row>
    <row r="20" spans="2:14">
      <c r="B20" s="148" t="s">
        <v>234</v>
      </c>
      <c r="C20" s="149"/>
      <c r="D20" s="149"/>
      <c r="E20" s="149"/>
      <c r="F20" s="149"/>
      <c r="G20" s="149"/>
      <c r="H20" s="149"/>
      <c r="I20" s="150">
        <f>PERCENTILE(I10:I14,0.25)</f>
        <v>0.62489309538742233</v>
      </c>
      <c r="J20" s="150">
        <f t="shared" ref="J20:K20" si="2">PERCENTILE(J10:J14,0.25)</f>
        <v>7.0268767377201113</v>
      </c>
      <c r="K20" s="151">
        <f t="shared" si="2"/>
        <v>20.04</v>
      </c>
    </row>
    <row r="21" spans="2:14">
      <c r="B21" s="148" t="s">
        <v>235</v>
      </c>
      <c r="C21" s="149"/>
      <c r="D21" s="149"/>
      <c r="E21" s="149"/>
      <c r="F21" s="149"/>
      <c r="G21" s="149"/>
      <c r="H21" s="149"/>
      <c r="I21" s="150">
        <f>PERCENTILE(I10:I14,0.75)</f>
        <v>1.5670444733911304</v>
      </c>
      <c r="J21" s="150">
        <f t="shared" ref="J21:K21" si="3">PERCENTILE(J10:J14,0.75)</f>
        <v>12.177777777777777</v>
      </c>
      <c r="K21" s="151">
        <f t="shared" si="3"/>
        <v>31.15</v>
      </c>
    </row>
    <row r="22" spans="2:14">
      <c r="B22" s="152" t="s">
        <v>236</v>
      </c>
      <c r="C22" s="153"/>
      <c r="D22" s="153"/>
      <c r="E22" s="153"/>
      <c r="F22" s="153"/>
      <c r="G22" s="153"/>
      <c r="H22" s="153"/>
      <c r="I22" s="154">
        <f>_xlfn.STDEV.S(I10:I14)</f>
        <v>0.82004636493048677</v>
      </c>
      <c r="J22" s="154">
        <f t="shared" ref="J22:K22" si="4">_xlfn.STDEV.S(J10:J14)</f>
        <v>4.9824369092219509</v>
      </c>
      <c r="K22" s="155">
        <f t="shared" si="4"/>
        <v>10.741711688553174</v>
      </c>
    </row>
    <row r="23" spans="2:14">
      <c r="J23" s="112"/>
    </row>
    <row r="24" spans="2:14">
      <c r="J24" s="104"/>
      <c r="K24" s="104"/>
      <c r="L24" s="105"/>
      <c r="N24" s="105"/>
    </row>
    <row r="25" spans="2:14">
      <c r="J25" s="112"/>
    </row>
    <row r="26" spans="2:14">
      <c r="B26" s="13" t="s">
        <v>237</v>
      </c>
      <c r="C26" s="166"/>
    </row>
    <row r="27" spans="2:14">
      <c r="B27" s="5" t="s">
        <v>238</v>
      </c>
      <c r="C27" s="239">
        <f>'DCF Base'!D4</f>
        <v>18.989999999999998</v>
      </c>
    </row>
    <row r="28" spans="2:14">
      <c r="B28" s="5" t="s">
        <v>14</v>
      </c>
      <c r="C28" s="232">
        <f>'DCF Base'!D5/1000000</f>
        <v>282</v>
      </c>
    </row>
    <row r="29" spans="2:14">
      <c r="B29" s="5" t="s">
        <v>17</v>
      </c>
      <c r="C29" s="233">
        <f>'DCF Base'!E35</f>
        <v>7923</v>
      </c>
    </row>
    <row r="30" spans="2:14">
      <c r="B30" s="5" t="s">
        <v>20</v>
      </c>
      <c r="C30" s="233">
        <f>'DCF Base'!E28</f>
        <v>862</v>
      </c>
    </row>
    <row r="31" spans="2:14">
      <c r="B31" s="5" t="s">
        <v>23</v>
      </c>
      <c r="C31" s="164">
        <f>F8</f>
        <v>23866</v>
      </c>
    </row>
    <row r="32" spans="2:14">
      <c r="B32" s="5" t="s">
        <v>27</v>
      </c>
      <c r="C32" s="164">
        <f>G8</f>
        <v>2256</v>
      </c>
    </row>
    <row r="33" spans="2:9">
      <c r="B33" s="7" t="s">
        <v>30</v>
      </c>
      <c r="C33" s="165">
        <f>H8</f>
        <v>105</v>
      </c>
    </row>
    <row r="36" spans="2:9">
      <c r="B36" s="163" t="s">
        <v>239</v>
      </c>
      <c r="C36" s="172"/>
      <c r="D36" s="172"/>
      <c r="E36" s="172"/>
      <c r="F36" s="172"/>
      <c r="G36" s="172"/>
      <c r="H36" s="173"/>
    </row>
    <row r="37" spans="2:9">
      <c r="B37" s="174" t="s">
        <v>32</v>
      </c>
      <c r="C37" s="175" t="s">
        <v>11</v>
      </c>
      <c r="D37" s="175" t="s">
        <v>33</v>
      </c>
      <c r="E37" s="175" t="s">
        <v>34</v>
      </c>
      <c r="F37" s="175" t="s">
        <v>35</v>
      </c>
      <c r="G37" s="175" t="s">
        <v>36</v>
      </c>
      <c r="H37" s="176" t="s">
        <v>37</v>
      </c>
    </row>
    <row r="38" spans="2:9">
      <c r="B38" s="5" t="s">
        <v>170</v>
      </c>
      <c r="H38" s="4"/>
    </row>
    <row r="39" spans="2:9">
      <c r="B39" s="135" t="s">
        <v>234</v>
      </c>
      <c r="C39" s="168">
        <f>I20</f>
        <v>0.62489309538742233</v>
      </c>
      <c r="D39" s="169">
        <f>C39*$C$31</f>
        <v>14913.698614516221</v>
      </c>
      <c r="E39" s="116">
        <f>$C$29-$C$30</f>
        <v>7061</v>
      </c>
      <c r="F39" s="169">
        <f>D39-E39</f>
        <v>7852.6986145162209</v>
      </c>
      <c r="G39" s="116">
        <f>$C$28</f>
        <v>282</v>
      </c>
      <c r="H39" s="177">
        <f>F39/G39</f>
        <v>27.846448987646173</v>
      </c>
    </row>
    <row r="40" spans="2:9">
      <c r="B40" s="135" t="s">
        <v>235</v>
      </c>
      <c r="C40" s="168">
        <f>I21</f>
        <v>1.5670444733911304</v>
      </c>
      <c r="D40" s="169">
        <f t="shared" ref="D40:D41" si="5">C40*$C$31</f>
        <v>37399.083401952717</v>
      </c>
      <c r="E40" s="116">
        <f t="shared" ref="E40:E49" si="6">$C$29-$C$30</f>
        <v>7061</v>
      </c>
      <c r="F40" s="169">
        <f>D40-E40</f>
        <v>30338.083401952717</v>
      </c>
      <c r="G40" s="116">
        <f t="shared" ref="G40:G49" si="7">$C$28</f>
        <v>282</v>
      </c>
      <c r="H40" s="177">
        <f t="shared" ref="H40:H49" si="8">F40/G40</f>
        <v>107.58185603529333</v>
      </c>
    </row>
    <row r="41" spans="2:9">
      <c r="B41" s="135" t="s">
        <v>232</v>
      </c>
      <c r="C41" s="168">
        <f>I18</f>
        <v>1.1935699476647958</v>
      </c>
      <c r="D41" s="169">
        <f t="shared" si="5"/>
        <v>28485.740370968018</v>
      </c>
      <c r="E41" s="116">
        <f t="shared" si="6"/>
        <v>7061</v>
      </c>
      <c r="F41" s="169">
        <f t="shared" ref="F40:F49" si="9">D41-E41</f>
        <v>21424.740370968018</v>
      </c>
      <c r="G41" s="116">
        <f t="shared" si="7"/>
        <v>282</v>
      </c>
      <c r="H41" s="177">
        <f t="shared" si="8"/>
        <v>75.974256634638365</v>
      </c>
    </row>
    <row r="42" spans="2:9">
      <c r="B42" s="5" t="s">
        <v>240</v>
      </c>
      <c r="D42" s="169"/>
      <c r="E42" s="116"/>
      <c r="F42" s="169"/>
      <c r="G42" s="116"/>
      <c r="H42" s="177"/>
    </row>
    <row r="43" spans="2:9">
      <c r="B43" s="135" t="s">
        <v>234</v>
      </c>
      <c r="C43" s="168">
        <f>J20</f>
        <v>7.0268767377201113</v>
      </c>
      <c r="D43" s="169">
        <f t="shared" ref="D43:D45" si="10">C43*$C$32</f>
        <v>15852.633920296572</v>
      </c>
      <c r="E43" s="116">
        <f t="shared" si="6"/>
        <v>7061</v>
      </c>
      <c r="F43" s="169">
        <f t="shared" si="9"/>
        <v>8791.6339202965719</v>
      </c>
      <c r="G43" s="116">
        <f t="shared" si="7"/>
        <v>282</v>
      </c>
      <c r="H43" s="177">
        <f t="shared" si="8"/>
        <v>31.176006809562313</v>
      </c>
    </row>
    <row r="44" spans="2:9" ht="15.6">
      <c r="B44" s="135" t="s">
        <v>235</v>
      </c>
      <c r="C44" s="168">
        <f>J21</f>
        <v>12.177777777777777</v>
      </c>
      <c r="D44" s="169">
        <f t="shared" si="10"/>
        <v>27473.066666666666</v>
      </c>
      <c r="E44" s="116">
        <f t="shared" si="6"/>
        <v>7061</v>
      </c>
      <c r="F44" s="169">
        <f t="shared" si="9"/>
        <v>20412.066666666666</v>
      </c>
      <c r="G44" s="116">
        <f t="shared" si="7"/>
        <v>282</v>
      </c>
      <c r="H44" s="177">
        <f t="shared" si="8"/>
        <v>72.383215130023643</v>
      </c>
      <c r="I44" s="157"/>
    </row>
    <row r="45" spans="2:9">
      <c r="B45" s="135" t="s">
        <v>232</v>
      </c>
      <c r="C45" s="168">
        <f>J18</f>
        <v>10.87688381523124</v>
      </c>
      <c r="D45" s="169">
        <f t="shared" si="10"/>
        <v>24538.249887161677</v>
      </c>
      <c r="E45" s="116">
        <f t="shared" si="6"/>
        <v>7061</v>
      </c>
      <c r="F45" s="169">
        <f t="shared" si="9"/>
        <v>17477.249887161677</v>
      </c>
      <c r="G45" s="116">
        <f t="shared" si="7"/>
        <v>282</v>
      </c>
      <c r="H45" s="177">
        <f t="shared" si="8"/>
        <v>61.97606342965134</v>
      </c>
      <c r="I45" s="158"/>
    </row>
    <row r="46" spans="2:9">
      <c r="B46" s="5" t="s">
        <v>168</v>
      </c>
      <c r="C46" s="168"/>
      <c r="D46" s="168"/>
      <c r="E46" s="116"/>
      <c r="F46" s="169"/>
      <c r="G46" s="116"/>
      <c r="H46" s="177"/>
      <c r="I46" s="158"/>
    </row>
    <row r="47" spans="2:9">
      <c r="B47" s="135" t="s">
        <v>234</v>
      </c>
      <c r="C47" s="168">
        <f>K20</f>
        <v>20.04</v>
      </c>
      <c r="D47" s="169">
        <f>C47*$C$33</f>
        <v>2104.1999999999998</v>
      </c>
      <c r="E47" s="116">
        <f t="shared" si="6"/>
        <v>7061</v>
      </c>
      <c r="F47" s="169">
        <f t="shared" si="9"/>
        <v>-4956.8</v>
      </c>
      <c r="G47" s="116">
        <f t="shared" si="7"/>
        <v>282</v>
      </c>
      <c r="H47" s="177">
        <f t="shared" si="8"/>
        <v>-17.577304964539007</v>
      </c>
      <c r="I47" s="158"/>
    </row>
    <row r="48" spans="2:9">
      <c r="B48" s="135" t="s">
        <v>235</v>
      </c>
      <c r="C48" s="168">
        <f>K21</f>
        <v>31.15</v>
      </c>
      <c r="D48" s="169">
        <f t="shared" ref="D48:D49" si="11">C48*$C$33</f>
        <v>3270.75</v>
      </c>
      <c r="E48" s="116">
        <f t="shared" si="6"/>
        <v>7061</v>
      </c>
      <c r="F48" s="169">
        <f t="shared" si="9"/>
        <v>-3790.25</v>
      </c>
      <c r="G48" s="116">
        <f t="shared" si="7"/>
        <v>282</v>
      </c>
      <c r="H48" s="177">
        <f t="shared" si="8"/>
        <v>-13.440602836879433</v>
      </c>
      <c r="I48" s="158"/>
    </row>
    <row r="49" spans="2:9">
      <c r="B49" s="136" t="s">
        <v>232</v>
      </c>
      <c r="C49" s="178">
        <f>K18</f>
        <v>24.112000000000002</v>
      </c>
      <c r="D49" s="179">
        <f t="shared" si="11"/>
        <v>2531.7600000000002</v>
      </c>
      <c r="E49" s="180">
        <f t="shared" si="6"/>
        <v>7061</v>
      </c>
      <c r="F49" s="179">
        <f t="shared" si="9"/>
        <v>-4529.24</v>
      </c>
      <c r="G49" s="180">
        <f t="shared" si="7"/>
        <v>282</v>
      </c>
      <c r="H49" s="181">
        <f t="shared" si="8"/>
        <v>-16.06113475177305</v>
      </c>
      <c r="I49" s="158"/>
    </row>
    <row r="50" spans="2:9">
      <c r="C50" s="168"/>
      <c r="D50" s="168"/>
      <c r="E50" s="168"/>
      <c r="F50" s="168"/>
      <c r="G50" s="1"/>
      <c r="H50" s="104"/>
      <c r="I50" s="158"/>
    </row>
    <row r="51" spans="2:9">
      <c r="B51" s="182" t="s">
        <v>51</v>
      </c>
      <c r="C51" s="183"/>
      <c r="G51" s="1"/>
      <c r="H51" s="1"/>
      <c r="I51" s="1"/>
    </row>
    <row r="52" spans="2:9">
      <c r="B52" s="5" t="s">
        <v>234</v>
      </c>
      <c r="C52" s="177">
        <f>AVERAGE(H39,H43,H47)</f>
        <v>13.815050277556495</v>
      </c>
      <c r="E52" s="341"/>
      <c r="F52" s="342"/>
      <c r="G52" s="1"/>
      <c r="H52" s="1"/>
      <c r="I52" s="158"/>
    </row>
    <row r="53" spans="2:9">
      <c r="B53" s="5" t="s">
        <v>235</v>
      </c>
      <c r="C53" s="177">
        <f>AVERAGE(H40,H44,H48)</f>
        <v>55.508156109479181</v>
      </c>
      <c r="E53" s="341"/>
      <c r="F53" s="342"/>
      <c r="G53" s="1"/>
      <c r="H53" s="1"/>
      <c r="I53" s="158"/>
    </row>
    <row r="54" spans="2:9">
      <c r="B54" s="7" t="s">
        <v>232</v>
      </c>
      <c r="C54" s="181">
        <f>AVERAGE(H41,H45,H49)</f>
        <v>40.629728437505555</v>
      </c>
      <c r="D54" s="171"/>
      <c r="E54" s="339"/>
      <c r="F54" s="339"/>
      <c r="G54" s="1"/>
      <c r="H54" s="1"/>
      <c r="I54" s="158"/>
    </row>
    <row r="57" spans="2:9" ht="15.6">
      <c r="B57" s="156"/>
      <c r="C57" s="340"/>
      <c r="D57" s="340"/>
      <c r="E57" s="156"/>
      <c r="F57" s="156"/>
      <c r="G57" s="156"/>
    </row>
    <row r="58" spans="2:9">
      <c r="C58" s="159"/>
      <c r="E58" s="160"/>
      <c r="F58" s="160"/>
      <c r="G58" s="161"/>
    </row>
  </sheetData>
  <mergeCells count="8">
    <mergeCell ref="L5:O5"/>
    <mergeCell ref="B2:O3"/>
    <mergeCell ref="E54:F54"/>
    <mergeCell ref="C57:D57"/>
    <mergeCell ref="E52:F52"/>
    <mergeCell ref="E53:F53"/>
    <mergeCell ref="C5:H5"/>
    <mergeCell ref="I5:K5"/>
  </mergeCells>
  <pageMargins left="0.7" right="0.7" top="0.75" bottom="0.75"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A4F8C-4668-4DB0-B8F1-17BE77233A5A}">
  <sheetPr>
    <tabColor theme="8" tint="0.59999389629810485"/>
  </sheetPr>
  <dimension ref="B2:N40"/>
  <sheetViews>
    <sheetView showGridLines="0" zoomScale="40" zoomScaleNormal="40" workbookViewId="0">
      <selection activeCell="K20" sqref="K20"/>
    </sheetView>
  </sheetViews>
  <sheetFormatPr defaultRowHeight="14.45"/>
  <cols>
    <col min="2" max="2" width="13.5703125" bestFit="1" customWidth="1"/>
    <col min="3" max="3" width="26.140625" bestFit="1" customWidth="1"/>
    <col min="4" max="4" width="24.5703125" bestFit="1" customWidth="1"/>
    <col min="5" max="5" width="25.7109375" customWidth="1"/>
    <col min="6" max="6" width="23.85546875" customWidth="1"/>
    <col min="7" max="7" width="18" customWidth="1"/>
    <col min="8" max="8" width="15.5703125" bestFit="1" customWidth="1"/>
    <col min="9" max="9" width="13" customWidth="1"/>
    <col min="10" max="10" width="14.140625" bestFit="1" customWidth="1"/>
    <col min="11" max="11" width="17.140625" bestFit="1" customWidth="1"/>
    <col min="14" max="14" width="34.5703125" bestFit="1" customWidth="1"/>
    <col min="15" max="15" width="32.5703125" bestFit="1" customWidth="1"/>
    <col min="16" max="16" width="88.5703125" bestFit="1" customWidth="1"/>
  </cols>
  <sheetData>
    <row r="2" spans="2:11" ht="15" customHeight="1">
      <c r="B2" s="345" t="s">
        <v>241</v>
      </c>
      <c r="C2" s="345"/>
      <c r="D2" s="345"/>
      <c r="E2" s="345"/>
      <c r="F2" s="345"/>
      <c r="G2" s="345"/>
      <c r="H2" s="345"/>
      <c r="I2" s="345"/>
      <c r="J2" s="345"/>
      <c r="K2" s="345"/>
    </row>
    <row r="3" spans="2:11" ht="15" customHeight="1">
      <c r="B3" s="346"/>
      <c r="C3" s="346"/>
      <c r="D3" s="346"/>
      <c r="E3" s="346"/>
      <c r="F3" s="346"/>
      <c r="G3" s="346"/>
      <c r="H3" s="346"/>
      <c r="I3" s="346"/>
      <c r="J3" s="346"/>
      <c r="K3" s="346"/>
    </row>
    <row r="5" spans="2:11">
      <c r="G5" t="s">
        <v>242</v>
      </c>
    </row>
    <row r="6" spans="2:11" ht="15.6">
      <c r="B6" s="185" t="s">
        <v>243</v>
      </c>
      <c r="C6" s="184" t="s">
        <v>216</v>
      </c>
      <c r="D6" s="184" t="s">
        <v>244</v>
      </c>
      <c r="E6" s="205" t="s">
        <v>245</v>
      </c>
      <c r="F6" s="205"/>
      <c r="G6" s="184" t="s">
        <v>246</v>
      </c>
      <c r="H6" s="184" t="s">
        <v>99</v>
      </c>
      <c r="I6" s="184" t="s">
        <v>103</v>
      </c>
      <c r="J6" s="184" t="s">
        <v>247</v>
      </c>
      <c r="K6" s="186" t="s">
        <v>211</v>
      </c>
    </row>
    <row r="7" spans="2:11" ht="15">
      <c r="B7" s="316">
        <v>45349</v>
      </c>
      <c r="C7" t="s">
        <v>248</v>
      </c>
      <c r="D7" t="s">
        <v>249</v>
      </c>
      <c r="E7" s="347" t="s">
        <v>250</v>
      </c>
      <c r="F7" s="347"/>
      <c r="G7" s="188">
        <v>617.79999999999995</v>
      </c>
      <c r="H7" s="188">
        <f>G7/J7</f>
        <v>1544.4999999999998</v>
      </c>
      <c r="I7" s="188">
        <f>G7/K7</f>
        <v>134.89082969432314</v>
      </c>
      <c r="J7" s="189">
        <v>0.4</v>
      </c>
      <c r="K7" s="190">
        <v>4.58</v>
      </c>
    </row>
    <row r="8" spans="2:11" ht="15">
      <c r="B8" s="316">
        <v>43781</v>
      </c>
      <c r="C8" t="s">
        <v>251</v>
      </c>
      <c r="D8" t="s">
        <v>252</v>
      </c>
      <c r="E8" s="347" t="s">
        <v>253</v>
      </c>
      <c r="F8" s="347"/>
      <c r="G8" s="106">
        <v>45</v>
      </c>
      <c r="H8" s="269">
        <f>G8/J8</f>
        <v>60</v>
      </c>
      <c r="I8" s="269">
        <f>G8/K8</f>
        <v>3.0181086519114686</v>
      </c>
      <c r="J8" s="189">
        <v>0.75</v>
      </c>
      <c r="K8" s="190">
        <v>14.91</v>
      </c>
    </row>
    <row r="9" spans="2:11">
      <c r="B9" s="316">
        <v>44116</v>
      </c>
      <c r="C9" t="s">
        <v>254</v>
      </c>
      <c r="D9" t="s">
        <v>255</v>
      </c>
      <c r="E9" s="344" t="s">
        <v>256</v>
      </c>
      <c r="F9" s="344"/>
      <c r="G9" s="106">
        <v>40</v>
      </c>
      <c r="H9" s="269">
        <f>G9/J9</f>
        <v>25.974025974025974</v>
      </c>
      <c r="I9" s="269">
        <f>G9/K9</f>
        <v>1.511144692104269</v>
      </c>
      <c r="J9" s="189">
        <v>1.54</v>
      </c>
      <c r="K9" s="190">
        <v>26.47</v>
      </c>
    </row>
    <row r="10" spans="2:11">
      <c r="B10" s="316">
        <v>44049</v>
      </c>
      <c r="C10" t="s">
        <v>257</v>
      </c>
      <c r="D10" t="s">
        <v>258</v>
      </c>
      <c r="E10" s="344" t="s">
        <v>259</v>
      </c>
      <c r="F10" s="344"/>
      <c r="G10" s="106">
        <v>4000</v>
      </c>
      <c r="H10" s="269">
        <f>G10/J10</f>
        <v>3773.584905660377</v>
      </c>
      <c r="I10" s="269">
        <f>G10/K10</f>
        <v>341.88034188034192</v>
      </c>
      <c r="J10" s="189">
        <v>1.06</v>
      </c>
      <c r="K10" s="190">
        <v>11.7</v>
      </c>
    </row>
    <row r="11" spans="2:11">
      <c r="B11" s="5"/>
      <c r="K11" s="4"/>
    </row>
    <row r="12" spans="2:11">
      <c r="B12" s="5"/>
      <c r="G12" s="197" t="s">
        <v>232</v>
      </c>
      <c r="H12" s="111"/>
      <c r="I12" s="113"/>
      <c r="J12" s="114">
        <f>AVERAGE(J7:J10)</f>
        <v>0.9375</v>
      </c>
      <c r="K12" s="191">
        <f>AVERAGE(K7:K10)</f>
        <v>14.414999999999999</v>
      </c>
    </row>
    <row r="13" spans="2:11">
      <c r="B13" s="5"/>
      <c r="G13" s="198" t="s">
        <v>233</v>
      </c>
      <c r="H13" s="121"/>
      <c r="I13" s="121"/>
      <c r="J13" s="192">
        <f>MEDIAN(J7:J10)</f>
        <v>0.90500000000000003</v>
      </c>
      <c r="K13" s="193">
        <f>MEDIAN(K7:K10)</f>
        <v>13.305</v>
      </c>
    </row>
    <row r="14" spans="2:11">
      <c r="B14" s="5"/>
      <c r="G14" s="198" t="s">
        <v>234</v>
      </c>
      <c r="H14" s="121"/>
      <c r="I14" s="121"/>
      <c r="J14" s="192">
        <f>PERCENTILE(J7:J10,0.25)</f>
        <v>0.66249999999999998</v>
      </c>
      <c r="K14" s="193">
        <f>PERCENTILE(K7:K10,0.25)</f>
        <v>9.92</v>
      </c>
    </row>
    <row r="15" spans="2:11">
      <c r="B15" s="5"/>
      <c r="G15" s="198" t="s">
        <v>235</v>
      </c>
      <c r="H15" s="121"/>
      <c r="I15" s="121"/>
      <c r="J15" s="192">
        <f>PERCENTILE(J7:J10,0.75)</f>
        <v>1.1800000000000002</v>
      </c>
      <c r="K15" s="193">
        <f>PERCENTILE(K7:K10,0.75)</f>
        <v>17.8</v>
      </c>
    </row>
    <row r="16" spans="2:11">
      <c r="B16" s="7"/>
      <c r="C16" s="99"/>
      <c r="D16" s="99"/>
      <c r="E16" s="99"/>
      <c r="F16" s="99"/>
      <c r="G16" s="199" t="s">
        <v>236</v>
      </c>
      <c r="H16" s="194"/>
      <c r="I16" s="194"/>
      <c r="J16" s="195">
        <f>_xlfn.STDEV.S(J7:J10)</f>
        <v>0.48376130477747004</v>
      </c>
      <c r="K16" s="196">
        <f>_xlfn.STDEV.S(K7:K10)</f>
        <v>9.1226184106684354</v>
      </c>
    </row>
    <row r="18" spans="2:14">
      <c r="B18" s="16"/>
      <c r="D18" s="1"/>
      <c r="G18" s="115"/>
      <c r="H18" s="116"/>
      <c r="I18" s="117"/>
      <c r="J18" s="118"/>
      <c r="K18" s="118"/>
    </row>
    <row r="19" spans="2:14" ht="15.6">
      <c r="B19" s="163" t="s">
        <v>239</v>
      </c>
      <c r="C19" s="172"/>
      <c r="D19" s="172"/>
      <c r="E19" s="172"/>
      <c r="F19" s="172"/>
      <c r="G19" s="172"/>
      <c r="H19" s="172"/>
      <c r="I19" s="118"/>
      <c r="J19" s="118"/>
      <c r="K19" s="118"/>
      <c r="N19" s="119"/>
    </row>
    <row r="20" spans="2:14" ht="15.6">
      <c r="B20" s="174" t="s">
        <v>32</v>
      </c>
      <c r="C20" s="175" t="s">
        <v>11</v>
      </c>
      <c r="D20" s="175" t="s">
        <v>33</v>
      </c>
      <c r="E20" s="175" t="s">
        <v>34</v>
      </c>
      <c r="F20" s="175" t="s">
        <v>35</v>
      </c>
      <c r="G20" s="175" t="s">
        <v>36</v>
      </c>
      <c r="H20" s="176" t="s">
        <v>37</v>
      </c>
      <c r="J20" s="118"/>
      <c r="K20" s="118"/>
      <c r="N20" s="119"/>
    </row>
    <row r="21" spans="2:14">
      <c r="B21" s="5" t="s">
        <v>170</v>
      </c>
      <c r="H21" s="4"/>
      <c r="J21" s="118"/>
      <c r="K21" s="118"/>
    </row>
    <row r="22" spans="2:14">
      <c r="B22" s="135" t="s">
        <v>234</v>
      </c>
      <c r="C22" s="168">
        <f>J14</f>
        <v>0.66249999999999998</v>
      </c>
      <c r="D22" s="169">
        <f>C22*$C$36</f>
        <v>15811.225</v>
      </c>
      <c r="E22" s="116">
        <f>$C$34-$C$35</f>
        <v>7061</v>
      </c>
      <c r="F22" s="169">
        <f>D22-E22</f>
        <v>8750.2250000000004</v>
      </c>
      <c r="G22" s="116">
        <f>$C$33</f>
        <v>282</v>
      </c>
      <c r="H22" s="177">
        <f>F22/G22</f>
        <v>31.029166666666669</v>
      </c>
      <c r="J22" s="118"/>
      <c r="K22" s="118"/>
    </row>
    <row r="23" spans="2:14">
      <c r="B23" s="135" t="s">
        <v>235</v>
      </c>
      <c r="C23" s="168">
        <f>J15</f>
        <v>1.1800000000000002</v>
      </c>
      <c r="D23" s="169">
        <f t="shared" ref="D23" si="0">C23*$C$36</f>
        <v>28161.880000000005</v>
      </c>
      <c r="E23" s="116">
        <f>$C$34-$C$35</f>
        <v>7061</v>
      </c>
      <c r="F23" s="169">
        <f>D23-E23</f>
        <v>21100.880000000005</v>
      </c>
      <c r="G23" s="116">
        <f>$C$33</f>
        <v>282</v>
      </c>
      <c r="H23" s="177">
        <f t="shared" ref="H23:H28" si="1">F23/G23</f>
        <v>74.825815602836897</v>
      </c>
      <c r="J23" s="118"/>
      <c r="K23" s="118"/>
    </row>
    <row r="24" spans="2:14">
      <c r="B24" s="135" t="s">
        <v>232</v>
      </c>
      <c r="C24" s="168">
        <f>J12</f>
        <v>0.9375</v>
      </c>
      <c r="D24" s="169">
        <f>C24*$C$36</f>
        <v>22374.375</v>
      </c>
      <c r="E24" s="116">
        <f>$C$34-$C$35</f>
        <v>7061</v>
      </c>
      <c r="F24" s="169">
        <f>D24-E24</f>
        <v>15313.375</v>
      </c>
      <c r="G24" s="116">
        <f>$C$33</f>
        <v>282</v>
      </c>
      <c r="H24" s="177">
        <f>F24/G24</f>
        <v>54.302748226950357</v>
      </c>
    </row>
    <row r="25" spans="2:14">
      <c r="B25" s="5" t="s">
        <v>240</v>
      </c>
      <c r="D25" s="169"/>
      <c r="E25" s="116"/>
      <c r="F25" s="169"/>
      <c r="G25" s="116"/>
      <c r="H25" s="177"/>
    </row>
    <row r="26" spans="2:14">
      <c r="B26" s="135" t="s">
        <v>234</v>
      </c>
      <c r="C26" s="168">
        <f>K14</f>
        <v>9.92</v>
      </c>
      <c r="D26" s="169">
        <f>C26*$C$37</f>
        <v>22379.52</v>
      </c>
      <c r="E26" s="116">
        <f>$C$34-$C$35</f>
        <v>7061</v>
      </c>
      <c r="F26" s="169">
        <f>D26-E26</f>
        <v>15318.52</v>
      </c>
      <c r="G26" s="116">
        <f>$C$33</f>
        <v>282</v>
      </c>
      <c r="H26" s="177">
        <f>F26/G26</f>
        <v>54.320992907801418</v>
      </c>
    </row>
    <row r="27" spans="2:14">
      <c r="B27" s="135" t="s">
        <v>235</v>
      </c>
      <c r="C27" s="168">
        <f>K15</f>
        <v>17.8</v>
      </c>
      <c r="D27" s="169">
        <f t="shared" ref="D27:D28" si="2">C27*$C$37</f>
        <v>40156.800000000003</v>
      </c>
      <c r="E27" s="116">
        <f>$C$34-$C$35</f>
        <v>7061</v>
      </c>
      <c r="F27" s="169">
        <f>D27-E27</f>
        <v>33095.800000000003</v>
      </c>
      <c r="G27" s="116">
        <f>$C$33</f>
        <v>282</v>
      </c>
      <c r="H27" s="177">
        <f t="shared" si="1"/>
        <v>117.36099290780143</v>
      </c>
    </row>
    <row r="28" spans="2:14">
      <c r="B28" s="136" t="s">
        <v>232</v>
      </c>
      <c r="C28" s="178">
        <f>K12</f>
        <v>14.414999999999999</v>
      </c>
      <c r="D28" s="179">
        <f t="shared" si="2"/>
        <v>32520.239999999998</v>
      </c>
      <c r="E28" s="180">
        <f>$C$34-$C$35</f>
        <v>7061</v>
      </c>
      <c r="F28" s="179">
        <f>D28-E28</f>
        <v>25459.239999999998</v>
      </c>
      <c r="G28" s="180">
        <f>$C$33</f>
        <v>282</v>
      </c>
      <c r="H28" s="181">
        <f t="shared" si="1"/>
        <v>90.280992907801405</v>
      </c>
    </row>
    <row r="29" spans="2:14">
      <c r="C29" s="168"/>
      <c r="D29" s="168"/>
      <c r="E29" s="116"/>
      <c r="F29" s="116"/>
      <c r="G29" s="169"/>
      <c r="H29" s="116"/>
      <c r="I29" s="170"/>
    </row>
    <row r="31" spans="2:14">
      <c r="B31" s="13" t="s">
        <v>10</v>
      </c>
      <c r="C31" s="166"/>
      <c r="E31" s="182" t="s">
        <v>51</v>
      </c>
      <c r="F31" s="207"/>
    </row>
    <row r="32" spans="2:14">
      <c r="B32" s="5" t="s">
        <v>238</v>
      </c>
      <c r="C32" s="14">
        <f>Comps!C27</f>
        <v>18.989999999999998</v>
      </c>
      <c r="E32" s="5" t="s">
        <v>234</v>
      </c>
      <c r="F32" s="177">
        <f>AVERAGE(H22,H26)</f>
        <v>42.67507978723404</v>
      </c>
      <c r="G32" t="s">
        <v>260</v>
      </c>
    </row>
    <row r="33" spans="2:6">
      <c r="B33" s="5" t="s">
        <v>14</v>
      </c>
      <c r="C33" s="234">
        <f>Comps!C28</f>
        <v>282</v>
      </c>
      <c r="E33" s="5" t="s">
        <v>235</v>
      </c>
      <c r="F33" s="177">
        <f>AVERAGE(H23,H27)</f>
        <v>96.093404255319172</v>
      </c>
    </row>
    <row r="34" spans="2:6">
      <c r="B34" s="5" t="s">
        <v>17</v>
      </c>
      <c r="C34" s="234">
        <f>Comps!C29</f>
        <v>7923</v>
      </c>
      <c r="E34" s="7" t="s">
        <v>232</v>
      </c>
      <c r="F34" s="181">
        <f>AVERAGE(H24,H28)</f>
        <v>72.291870567375881</v>
      </c>
    </row>
    <row r="35" spans="2:6">
      <c r="B35" s="5" t="s">
        <v>20</v>
      </c>
      <c r="C35" s="234">
        <f>Comps!C30</f>
        <v>862</v>
      </c>
    </row>
    <row r="36" spans="2:6">
      <c r="B36" s="5" t="s">
        <v>23</v>
      </c>
      <c r="C36" s="234">
        <f>Comps!C31</f>
        <v>23866</v>
      </c>
    </row>
    <row r="37" spans="2:6">
      <c r="B37" s="5" t="s">
        <v>27</v>
      </c>
      <c r="C37" s="234">
        <f>Comps!C32</f>
        <v>2256</v>
      </c>
    </row>
    <row r="38" spans="2:6">
      <c r="B38" s="7" t="s">
        <v>30</v>
      </c>
      <c r="C38" s="235">
        <f>Comps!C33</f>
        <v>105</v>
      </c>
    </row>
    <row r="39" spans="2:6" ht="15"/>
    <row r="40" spans="2:6" ht="15"/>
  </sheetData>
  <mergeCells count="5">
    <mergeCell ref="E10:F10"/>
    <mergeCell ref="B2:K3"/>
    <mergeCell ref="E7:F7"/>
    <mergeCell ref="E8:F8"/>
    <mergeCell ref="E9:F9"/>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University of Utah Marriott Library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Karianne Olsvik Dengerud</dc:creator>
  <cp:keywords/>
  <dc:description/>
  <cp:lastModifiedBy/>
  <cp:revision/>
  <dcterms:created xsi:type="dcterms:W3CDTF">2024-02-14T03:54:54Z</dcterms:created>
  <dcterms:modified xsi:type="dcterms:W3CDTF">2024-03-13T22:27:18Z</dcterms:modified>
  <cp:category/>
  <cp:contentStatus/>
</cp:coreProperties>
</file>